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aMichelle Gordon\aBudgets\ARP American Rescue Plan 2021\Requests\"/>
    </mc:Choice>
  </mc:AlternateContent>
  <bookViews>
    <workbookView xWindow="0" yWindow="0" windowWidth="28800" windowHeight="12300"/>
  </bookViews>
  <sheets>
    <sheet name="OpenGOV" sheetId="2" r:id="rId1"/>
    <sheet name="Sheet1" sheetId="3" r:id="rId2"/>
    <sheet name="ORIG" sheetId="1" r:id="rId3"/>
  </sheets>
  <definedNames>
    <definedName name="_xlnm.Print_Area" localSheetId="0">OpenGOV!$A$1:$K$84</definedName>
    <definedName name="_xlnm.Print_Area" localSheetId="2">ORIG!$A$1:$H$69</definedName>
    <definedName name="_xlnm.Print_Titles" localSheetId="0">OpenGOV!$1:$5</definedName>
    <definedName name="_xlnm.Print_Titles" localSheetId="2">ORIG!$1:$5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6" i="3"/>
  <c r="B9" i="3" s="1"/>
  <c r="B11" i="3" s="1"/>
  <c r="B15" i="3" s="1"/>
  <c r="J72" i="2" l="1"/>
  <c r="I12" i="2"/>
  <c r="H62" i="2"/>
  <c r="H63" i="2"/>
  <c r="H57" i="2"/>
  <c r="H64" i="2"/>
  <c r="H39" i="2"/>
  <c r="H65" i="2"/>
  <c r="H66" i="2"/>
  <c r="H61" i="2"/>
  <c r="J32" i="2" l="1"/>
  <c r="H32" i="2"/>
  <c r="J59" i="2" l="1"/>
  <c r="J67" i="2"/>
  <c r="J60" i="2"/>
  <c r="H67" i="2"/>
  <c r="H60" i="2"/>
  <c r="H59" i="2"/>
  <c r="H58" i="2"/>
  <c r="H56" i="2"/>
  <c r="H54" i="2"/>
  <c r="H53" i="2"/>
  <c r="H51" i="2"/>
  <c r="H52" i="2"/>
  <c r="H50" i="2"/>
  <c r="H48" i="2"/>
  <c r="H45" i="2"/>
  <c r="H47" i="2"/>
  <c r="H46" i="2"/>
  <c r="H44" i="2"/>
  <c r="H42" i="2"/>
  <c r="H41" i="2"/>
  <c r="H40" i="2"/>
  <c r="H38" i="2"/>
  <c r="H37" i="2"/>
  <c r="H36" i="2"/>
  <c r="H33" i="2"/>
  <c r="H35" i="2"/>
  <c r="H31" i="2"/>
  <c r="H30" i="2"/>
  <c r="H29" i="2"/>
  <c r="H28" i="2"/>
  <c r="H27" i="2"/>
  <c r="H26" i="2"/>
  <c r="H25" i="2"/>
  <c r="H23" i="2"/>
  <c r="H24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J56" i="2" l="1"/>
  <c r="J37" i="2"/>
  <c r="G49" i="2" l="1"/>
  <c r="F34" i="2"/>
  <c r="G55" i="2"/>
  <c r="J75" i="2"/>
  <c r="J54" i="2"/>
  <c r="J47" i="2"/>
  <c r="N46" i="2"/>
  <c r="O46" i="2" s="1"/>
  <c r="O47" i="2" s="1"/>
  <c r="N45" i="2"/>
  <c r="O45" i="2" s="1"/>
  <c r="J45" i="2"/>
  <c r="F43" i="2"/>
  <c r="J42" i="2"/>
  <c r="J40" i="2"/>
  <c r="J38" i="2"/>
  <c r="J33" i="2"/>
  <c r="J31" i="2"/>
  <c r="J27" i="2"/>
  <c r="F22" i="2"/>
  <c r="J21" i="2"/>
  <c r="J19" i="2"/>
  <c r="J17" i="2"/>
  <c r="I11" i="2"/>
  <c r="N9" i="2"/>
  <c r="M9" i="2"/>
  <c r="L9" i="2"/>
  <c r="F9" i="2" s="1"/>
  <c r="I8" i="2"/>
  <c r="I69" i="2" s="1"/>
  <c r="J73" i="2" s="1"/>
  <c r="J74" i="2" s="1"/>
  <c r="L74" i="2" s="1"/>
  <c r="G7" i="2"/>
  <c r="H7" i="2" s="1"/>
  <c r="G6" i="2"/>
  <c r="F69" i="2" l="1"/>
  <c r="G69" i="2"/>
  <c r="H6" i="2"/>
  <c r="J44" i="2"/>
  <c r="H43" i="2"/>
  <c r="J55" i="2"/>
  <c r="H55" i="2"/>
  <c r="J24" i="2"/>
  <c r="H22" i="2"/>
  <c r="J35" i="2"/>
  <c r="H34" i="2"/>
  <c r="H9" i="2"/>
  <c r="J16" i="2"/>
  <c r="J53" i="2"/>
  <c r="H49" i="2"/>
  <c r="L1" i="2"/>
  <c r="J76" i="2"/>
  <c r="J69" i="2" l="1"/>
  <c r="M1" i="2" s="1"/>
  <c r="H69" i="2"/>
  <c r="G60" i="1"/>
  <c r="G57" i="1"/>
  <c r="G52" i="1"/>
  <c r="G49" i="1"/>
  <c r="G48" i="1"/>
  <c r="G47" i="1"/>
  <c r="L41" i="1"/>
  <c r="G41" i="1"/>
  <c r="L40" i="1"/>
  <c r="K40" i="1"/>
  <c r="K39" i="1"/>
  <c r="L39" i="1" s="1"/>
  <c r="G39" i="1"/>
  <c r="D37" i="1"/>
  <c r="G38" i="1" s="1"/>
  <c r="G36" i="1"/>
  <c r="G34" i="1"/>
  <c r="G33" i="1"/>
  <c r="G32" i="1"/>
  <c r="G31" i="1"/>
  <c r="D30" i="1"/>
  <c r="G29" i="1"/>
  <c r="G28" i="1"/>
  <c r="G24" i="1"/>
  <c r="D19" i="1"/>
  <c r="G21" i="1" s="1"/>
  <c r="G18" i="1"/>
  <c r="G16" i="1"/>
  <c r="G14" i="1"/>
  <c r="F12" i="1"/>
  <c r="F11" i="1"/>
  <c r="K9" i="1"/>
  <c r="J9" i="1"/>
  <c r="I9" i="1"/>
  <c r="D9" i="1"/>
  <c r="F8" i="1"/>
  <c r="F54" i="1" s="1"/>
  <c r="G58" i="1" s="1"/>
  <c r="G59" i="1" s="1"/>
  <c r="E7" i="1"/>
  <c r="E6" i="1"/>
  <c r="E54" i="1" s="1"/>
  <c r="G61" i="1" l="1"/>
  <c r="G13" i="1"/>
  <c r="D54" i="1"/>
  <c r="I1" i="1" s="1"/>
  <c r="G54" i="1" l="1"/>
  <c r="J1" i="1" s="1"/>
</calcChain>
</file>

<file path=xl/sharedStrings.xml><?xml version="1.0" encoding="utf-8"?>
<sst xmlns="http://schemas.openxmlformats.org/spreadsheetml/2006/main" count="349" uniqueCount="205">
  <si>
    <t>Jefferson County Commission</t>
  </si>
  <si>
    <t>Community Requests</t>
  </si>
  <si>
    <t>Charles Town Utility Board</t>
  </si>
  <si>
    <t>Name</t>
  </si>
  <si>
    <t>Description</t>
  </si>
  <si>
    <t>Amount</t>
  </si>
  <si>
    <t>Rate Equalization</t>
  </si>
  <si>
    <t>Jefferson County Health Department</t>
  </si>
  <si>
    <t>Revenue replacement for unbilled vaccine administrative costs</t>
  </si>
  <si>
    <t>Community Outreach Position</t>
  </si>
  <si>
    <t>Subtotal</t>
  </si>
  <si>
    <t>HVAC for building</t>
  </si>
  <si>
    <t>Jefferson County Parks &amp; Recreation</t>
  </si>
  <si>
    <t>Public Sewer tie in</t>
  </si>
  <si>
    <t>Program revenue replacement</t>
  </si>
  <si>
    <t>COVID Expenditures</t>
  </si>
  <si>
    <t>WV Thoroughbred Breeders Assoc Inc</t>
  </si>
  <si>
    <t>James Hite Park infrastructure plan</t>
  </si>
  <si>
    <t>Roger Goodwin, County Engineering</t>
  </si>
  <si>
    <t>Demo of Smoot building for stormwater management of county parking lot run off</t>
  </si>
  <si>
    <t>Digital screen for public use permit process</t>
  </si>
  <si>
    <t>Study on the economic impact of thoroughbred industry on the local economy</t>
  </si>
  <si>
    <t>Equine internship / over 3 years</t>
  </si>
  <si>
    <t>Commission meeting room, public meeting technology improvements</t>
  </si>
  <si>
    <t>Email system upgrade</t>
  </si>
  <si>
    <t>Russ Burgess, County Inormation Tech</t>
  </si>
  <si>
    <t>Debbie Lowe for Sheriff Hansen</t>
  </si>
  <si>
    <t>Michelle Gordon, Finance Director</t>
  </si>
  <si>
    <t>on behalf of County Departments</t>
  </si>
  <si>
    <t>COLA Increase 0.7% -from General Revenue</t>
  </si>
  <si>
    <t>Merit Increase - from General Revenue</t>
  </si>
  <si>
    <t>Premium Pay-Retro active stipend $3k per eligible employee-County Staff</t>
  </si>
  <si>
    <t>Premium Pay-Retro active stipend $3k per eligible employee-Component Units</t>
  </si>
  <si>
    <t>Restoration of 5 positions eliminated due to revenue loss (3 deputies, 1 CAD Admin, 1 Co Comm Admin)</t>
  </si>
  <si>
    <t>Premium Pay for Deputies $7500/Deputy</t>
  </si>
  <si>
    <t>Renovate Animal Control building</t>
  </si>
  <si>
    <t>Jefferson Medical Center</t>
  </si>
  <si>
    <t>Forensic camera</t>
  </si>
  <si>
    <t>Sexual assault nurse training</t>
  </si>
  <si>
    <t>Jefferson County Water Advisory Comm</t>
  </si>
  <si>
    <t>3 year study</t>
  </si>
  <si>
    <t>Water test study</t>
  </si>
  <si>
    <t>Commissioner Tabb</t>
  </si>
  <si>
    <t>Day Report Center</t>
  </si>
  <si>
    <t>Breeding Promotion</t>
  </si>
  <si>
    <t>Harpers Ferry-Bolivar PSD</t>
  </si>
  <si>
    <t>Revenue Loss due to COVID</t>
  </si>
  <si>
    <t>African American Community Association of Jefferson County</t>
  </si>
  <si>
    <t>Totals</t>
  </si>
  <si>
    <t>Jeff Polczynski, 911 Communication Center</t>
  </si>
  <si>
    <t>Next generation 911 ESINET</t>
  </si>
  <si>
    <t>Status</t>
  </si>
  <si>
    <t>Denied</t>
  </si>
  <si>
    <t>Priority</t>
  </si>
  <si>
    <t>County Department Request</t>
  </si>
  <si>
    <t>County Component Unit Request</t>
  </si>
  <si>
    <t>Outside Agency/Organization Request</t>
  </si>
  <si>
    <t>Local government request</t>
  </si>
  <si>
    <t>Utility Request</t>
  </si>
  <si>
    <t>Broadband Infrastructure (Tabb &amp; Jackson)</t>
  </si>
  <si>
    <t>JCCOA</t>
  </si>
  <si>
    <t>FT and PT employee stipend</t>
  </si>
  <si>
    <t>Walk-in cooler replacement</t>
  </si>
  <si>
    <t>Charles Town Race Track Chaplaincy</t>
  </si>
  <si>
    <t>Economic support and revenue lost</t>
  </si>
  <si>
    <t>Public Safety Equipment</t>
  </si>
  <si>
    <t>Revenue Loss Estimate 2021-2024 (Estimate $2.0-$2.5M)</t>
  </si>
  <si>
    <t>Less ARPA Expenditures</t>
  </si>
  <si>
    <t xml:space="preserve">Balance ARPA Funding </t>
  </si>
  <si>
    <t>Total ARPA Funding Received</t>
  </si>
  <si>
    <t>Anticipated ARPA Funding</t>
  </si>
  <si>
    <t>Anticipated ARPA Balance</t>
  </si>
  <si>
    <t>2021-2024 COVID Expenditures Estimate (2020 total COVID expense was $5.7M)</t>
  </si>
  <si>
    <t>Pedestrian sidewalks, curbing and stormwater run off</t>
  </si>
  <si>
    <t>Water distribution improvements and repairs</t>
  </si>
  <si>
    <t>High Street Improvements</t>
  </si>
  <si>
    <t>Broadband IT Security and digital record keeping</t>
  </si>
  <si>
    <t>Armory Canal Trail west</t>
  </si>
  <si>
    <t xml:space="preserve">Harpers Ferry entry Arch &amp; visitor signage </t>
  </si>
  <si>
    <t xml:space="preserve">Potentially ineligible </t>
  </si>
  <si>
    <t>Sewer Pipe line rehab projects</t>
  </si>
  <si>
    <t xml:space="preserve">Harpers Ferry </t>
  </si>
  <si>
    <t>Safe Haven Child Advocacy Center</t>
  </si>
  <si>
    <t>VOCA Grant Funding loss</t>
  </si>
  <si>
    <t>See No. 5</t>
  </si>
  <si>
    <t>New Vehicles-Not eligible for ARPA, Would need to use C/O Fund</t>
  </si>
  <si>
    <t>Charles Town Horsemens Benevolent Protective Association</t>
  </si>
  <si>
    <t>Charles Town</t>
  </si>
  <si>
    <t>Homeless Support</t>
  </si>
  <si>
    <t>Amount Paid</t>
  </si>
  <si>
    <t xml:space="preserve">Revenue Loss  2020 </t>
  </si>
  <si>
    <t>Approved</t>
  </si>
  <si>
    <t>Included above</t>
  </si>
  <si>
    <t>Adjustments</t>
  </si>
  <si>
    <t>NOTES:</t>
  </si>
  <si>
    <t>PT Stipend Approved 09/02/2021</t>
  </si>
  <si>
    <t>FT Stipend approved 08/05/2021</t>
  </si>
  <si>
    <t>Add Interest Earned</t>
  </si>
  <si>
    <t>10/13/2021 ARPA Special Session</t>
  </si>
  <si>
    <t>Sinkhole study-withdrawn</t>
  </si>
  <si>
    <t>Withdrawn</t>
  </si>
  <si>
    <t>https://westvirginia.viewpointcloud.com/categories/1088/record-types/6448</t>
  </si>
  <si>
    <t>Ed Tennant</t>
  </si>
  <si>
    <t>Contact</t>
  </si>
  <si>
    <t>ARPA-1</t>
  </si>
  <si>
    <t>Kristen Stolipher</t>
  </si>
  <si>
    <t>Sanitary sewer collection system and Renewal and Replacement system projects</t>
  </si>
  <si>
    <t>ARPA-2</t>
  </si>
  <si>
    <t>ARPA-3</t>
  </si>
  <si>
    <t>Carrie Smith</t>
  </si>
  <si>
    <t>ARPA-4</t>
  </si>
  <si>
    <t>ARPA-5</t>
  </si>
  <si>
    <t>ARPA-6</t>
  </si>
  <si>
    <t>Alissa Meeks</t>
  </si>
  <si>
    <t>Jeff Polczynski</t>
  </si>
  <si>
    <t>App No.</t>
  </si>
  <si>
    <t>ARPA-7</t>
  </si>
  <si>
    <t>Email system upgrade for communications to the public</t>
  </si>
  <si>
    <t>Russ Burgess</t>
  </si>
  <si>
    <t>Maria Catignani</t>
  </si>
  <si>
    <t>ARPA-8</t>
  </si>
  <si>
    <t>ARPA-9</t>
  </si>
  <si>
    <t>ARPA-10</t>
  </si>
  <si>
    <t>ARPA-20</t>
  </si>
  <si>
    <t>Jennifer Myers</t>
  </si>
  <si>
    <t>ARPA-11</t>
  </si>
  <si>
    <t>ARPA-12</t>
  </si>
  <si>
    <t>Toni Milbourne</t>
  </si>
  <si>
    <t>ARPA-13</t>
  </si>
  <si>
    <t>Water distribution improvements and repairs $5,091,900</t>
  </si>
  <si>
    <t>ARPA-14</t>
  </si>
  <si>
    <t>Gregory Vaughn</t>
  </si>
  <si>
    <t>Daphne Wahl</t>
  </si>
  <si>
    <t>ARPA-15</t>
  </si>
  <si>
    <t>ARPA-16</t>
  </si>
  <si>
    <t>Jefferson County African American Cultural &amp; Heritage Festival</t>
  </si>
  <si>
    <t>Brenda Gaskins</t>
  </si>
  <si>
    <t>Promote social, cultural and economic programs relted to African American community</t>
  </si>
  <si>
    <t>ARPA-17</t>
  </si>
  <si>
    <t>John Funkhouser</t>
  </si>
  <si>
    <t>Mary Sell</t>
  </si>
  <si>
    <t>Unknown</t>
  </si>
  <si>
    <t>ARPA-18</t>
  </si>
  <si>
    <t>3 year groundwater study $400,000</t>
  </si>
  <si>
    <t xml:space="preserve">  2 Deputies</t>
  </si>
  <si>
    <t xml:space="preserve">  CAD Admin</t>
  </si>
  <si>
    <t xml:space="preserve">  Co Comm Admin</t>
  </si>
  <si>
    <t>Restoration of 4 positions eliminated due to revenue loss:</t>
  </si>
  <si>
    <t>ARPA-19</t>
  </si>
  <si>
    <t>ARPA-21</t>
  </si>
  <si>
    <t>PT Postion</t>
  </si>
  <si>
    <t>Ami Sirbaugh</t>
  </si>
  <si>
    <t>ARPA-22</t>
  </si>
  <si>
    <t>Kelly Franklin</t>
  </si>
  <si>
    <t>ARPA-23</t>
  </si>
  <si>
    <t>Lee Snyder</t>
  </si>
  <si>
    <t>Sanitary sewer collection system decommission and connection to CTUB</t>
  </si>
  <si>
    <t>ARPA-24</t>
  </si>
  <si>
    <t>David Deamer</t>
  </si>
  <si>
    <t>Not Eligible</t>
  </si>
  <si>
    <t>Included Above</t>
  </si>
  <si>
    <t>ARPA-26</t>
  </si>
  <si>
    <t>Emailed Ami 11/3/2021</t>
  </si>
  <si>
    <t>ARPA-25</t>
  </si>
  <si>
    <t>Roger Goodwin</t>
  </si>
  <si>
    <t>ARPA-27</t>
  </si>
  <si>
    <t>ARPA-28</t>
  </si>
  <si>
    <t>Adjusted Request</t>
  </si>
  <si>
    <t>ARPA-29</t>
  </si>
  <si>
    <t>Jefferson County Emergency Services Agency</t>
  </si>
  <si>
    <t>Bob Burner</t>
  </si>
  <si>
    <t>Portable and Mobile Radios</t>
  </si>
  <si>
    <t>ARPA-30</t>
  </si>
  <si>
    <t>Corporation of Shepherdstown</t>
  </si>
  <si>
    <t>Local Match for pedestrian access of Morgan's Grove Park</t>
  </si>
  <si>
    <t>ARPA-31</t>
  </si>
  <si>
    <t>ARPA-32</t>
  </si>
  <si>
    <t>ARPA-33</t>
  </si>
  <si>
    <t>ARPA-34</t>
  </si>
  <si>
    <t>ARPA-35</t>
  </si>
  <si>
    <t>ARPA-36</t>
  </si>
  <si>
    <t>ARPA-37</t>
  </si>
  <si>
    <t>Bakerton Fire Department</t>
  </si>
  <si>
    <t>Bradley Fritts</t>
  </si>
  <si>
    <t>Replacement Portable Radios</t>
  </si>
  <si>
    <t>Staffing reimbursement due to volunteer shortage from COVID</t>
  </si>
  <si>
    <t>Shenandoah Junction Public Sewer, Inc. (ON Behalf of CTUB)</t>
  </si>
  <si>
    <t>DUPLICATE-CANCELLED Shenandoah Junction Public Sewer, Inc/ CTUB</t>
  </si>
  <si>
    <t>Ambulance Loan Payoff-due to lost revenue from COVID</t>
  </si>
  <si>
    <t>Charles Washington Symphony Orchestra Corp</t>
  </si>
  <si>
    <t>Reengagement and recruitment efforts due to COVID participation declines</t>
  </si>
  <si>
    <t>Todd Coyle</t>
  </si>
  <si>
    <t>Keith Lowry</t>
  </si>
  <si>
    <t>Jefferson County Community Ministries</t>
  </si>
  <si>
    <t>Due to COVID Impact, Need funding for: Reducing and preventing homelessness, offsetting medical expenses, relieving economic harm to workers and households by providing financial and food assistance, and by continuing to operate an emergency shelter.</t>
  </si>
  <si>
    <t>02/17/2022 ARPA Submissions</t>
  </si>
  <si>
    <t>ARPA Fund 207</t>
  </si>
  <si>
    <t>FY23 Budget</t>
  </si>
  <si>
    <t>Interest Estimate</t>
  </si>
  <si>
    <t>Expenditure Estimate</t>
  </si>
  <si>
    <t>ARPA Revenue Estimate</t>
  </si>
  <si>
    <t>FY22 Beginning FB</t>
  </si>
  <si>
    <t>FY23 Estiamted Ending FB</t>
  </si>
  <si>
    <t>FY23 Estimated Beginning FB</t>
  </si>
  <si>
    <t>FY22 Estimated Ending 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</si>
</sst>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2" tint="-9.9948118533890809E-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165" fontId="0" fillId="0" borderId="0" xfId="1" applyNumberFormat="1" applyFon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165" fontId="0" fillId="0" borderId="1" xfId="1" applyNumberFormat="1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0" fillId="0" borderId="0" xfId="0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 indent="1"/>
    </xf>
    <xf numFmtId="164" fontId="0" fillId="0" borderId="0" xfId="0" applyNumberFormat="1"/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164" fontId="0" fillId="0" borderId="2" xfId="2" applyNumberFormat="1" applyFon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164" fontId="0" fillId="0" borderId="3" xfId="2" applyNumberFormat="1" applyFont="1" applyBorder="1" applyAlignment="1">
      <alignment vertical="top"/>
    </xf>
    <xf numFmtId="0" fontId="0" fillId="0" borderId="4" xfId="0" applyBorder="1" applyAlignment="1">
      <alignment vertical="top" wrapText="1"/>
    </xf>
    <xf numFmtId="165" fontId="0" fillId="0" borderId="4" xfId="1" applyNumberFormat="1" applyFont="1" applyBorder="1" applyAlignment="1">
      <alignment vertical="top"/>
    </xf>
    <xf numFmtId="0" fontId="0" fillId="0" borderId="0" xfId="0" applyAlignment="1">
      <alignment horizontal="left" vertical="top" indent="1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43" fontId="0" fillId="0" borderId="2" xfId="0" applyNumberFormat="1" applyBorder="1" applyAlignment="1">
      <alignment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165" fontId="3" fillId="2" borderId="0" xfId="1" applyNumberFormat="1" applyFont="1" applyFill="1" applyAlignment="1">
      <alignment vertical="top"/>
    </xf>
    <xf numFmtId="43" fontId="3" fillId="2" borderId="5" xfId="1" applyFont="1" applyFill="1" applyBorder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0" borderId="6" xfId="0" applyBorder="1" applyAlignment="1">
      <alignment vertical="top" wrapText="1"/>
    </xf>
    <xf numFmtId="165" fontId="0" fillId="0" borderId="1" xfId="1" applyNumberFormat="1" applyFont="1" applyFill="1" applyBorder="1" applyAlignment="1">
      <alignment vertical="top"/>
    </xf>
    <xf numFmtId="165" fontId="0" fillId="0" borderId="1" xfId="0" applyNumberFormat="1" applyFill="1" applyBorder="1" applyAlignment="1">
      <alignment vertical="top"/>
    </xf>
    <xf numFmtId="165" fontId="0" fillId="0" borderId="4" xfId="1" applyNumberFormat="1" applyFont="1" applyFill="1" applyBorder="1" applyAlignment="1">
      <alignment vertical="top"/>
    </xf>
    <xf numFmtId="164" fontId="0" fillId="0" borderId="0" xfId="0" applyNumberFormat="1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165" fontId="0" fillId="0" borderId="0" xfId="1" applyNumberFormat="1" applyFont="1" applyFill="1" applyAlignment="1">
      <alignment vertical="top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165" fontId="3" fillId="4" borderId="0" xfId="1" applyNumberFormat="1" applyFont="1" applyFill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165" fontId="0" fillId="0" borderId="6" xfId="1" applyNumberFormat="1" applyFont="1" applyFill="1" applyBorder="1" applyAlignment="1">
      <alignment vertical="top"/>
    </xf>
    <xf numFmtId="165" fontId="0" fillId="0" borderId="6" xfId="1" applyNumberFormat="1" applyFont="1" applyBorder="1" applyAlignment="1">
      <alignment vertical="top"/>
    </xf>
    <xf numFmtId="165" fontId="3" fillId="0" borderId="6" xfId="0" applyNumberFormat="1" applyFont="1" applyFill="1" applyBorder="1" applyAlignment="1">
      <alignment vertical="top"/>
    </xf>
    <xf numFmtId="0" fontId="0" fillId="0" borderId="6" xfId="0" applyBorder="1" applyAlignment="1">
      <alignment horizontal="left" vertical="top"/>
    </xf>
    <xf numFmtId="0" fontId="3" fillId="4" borderId="0" xfId="0" applyFont="1" applyFill="1"/>
    <xf numFmtId="164" fontId="3" fillId="4" borderId="3" xfId="2" applyNumberFormat="1" applyFont="1" applyFill="1" applyBorder="1" applyAlignment="1">
      <alignment vertical="top"/>
    </xf>
    <xf numFmtId="165" fontId="3" fillId="4" borderId="4" xfId="1" applyNumberFormat="1" applyFont="1" applyFill="1" applyBorder="1" applyAlignment="1">
      <alignment vertical="top"/>
    </xf>
    <xf numFmtId="165" fontId="3" fillId="4" borderId="1" xfId="1" applyNumberFormat="1" applyFont="1" applyFill="1" applyBorder="1" applyAlignment="1">
      <alignment vertical="top"/>
    </xf>
    <xf numFmtId="165" fontId="3" fillId="4" borderId="6" xfId="1" applyNumberFormat="1" applyFont="1" applyFill="1" applyBorder="1" applyAlignment="1">
      <alignment vertical="top"/>
    </xf>
    <xf numFmtId="164" fontId="3" fillId="4" borderId="2" xfId="2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165" fontId="3" fillId="4" borderId="7" xfId="1" applyNumberFormat="1" applyFont="1" applyFill="1" applyBorder="1" applyAlignment="1">
      <alignment vertical="top"/>
    </xf>
    <xf numFmtId="0" fontId="0" fillId="0" borderId="1" xfId="0" applyFill="1" applyBorder="1" applyAlignment="1">
      <alignment vertical="top"/>
    </xf>
    <xf numFmtId="43" fontId="3" fillId="2" borderId="0" xfId="0" applyNumberFormat="1" applyFont="1" applyFill="1" applyAlignment="1">
      <alignment vertical="top"/>
    </xf>
    <xf numFmtId="0" fontId="0" fillId="0" borderId="0" xfId="0" applyAlignment="1">
      <alignment horizontal="left" indent="1"/>
    </xf>
    <xf numFmtId="43" fontId="0" fillId="0" borderId="0" xfId="1" applyFont="1"/>
    <xf numFmtId="43" fontId="0" fillId="0" borderId="2" xfId="1" applyFont="1" applyBorder="1"/>
    <xf numFmtId="0" fontId="5" fillId="0" borderId="0" xfId="3" applyFont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1" xfId="0" applyFill="1" applyBorder="1" applyAlignment="1">
      <alignment horizontal="center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stvirginia.viewpointcloud.com/categories/1088/record-types/644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stvirginia.viewpointcloud.com/categories/1088/record-types/6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30"/>
  <sheetViews>
    <sheetView showGridLines="0" tabSelected="1" showRuler="0" view="pageBreakPreview" zoomScaleNormal="100" zoomScaleSheetLayoutView="100" workbookViewId="0">
      <pane ySplit="5" topLeftCell="A6" activePane="bottomLeft" state="frozen"/>
      <selection pane="bottomLeft"/>
    </sheetView>
  </sheetViews>
  <sheetFormatPr defaultRowHeight="15" x14ac:dyDescent="0.25"/>
  <cols>
    <col min="1" max="1" width="7.5703125" style="1" bestFit="1" customWidth="1"/>
    <col min="2" max="2" width="14.7109375" style="1" bestFit="1" customWidth="1"/>
    <col min="3" max="3" width="35.85546875" bestFit="1" customWidth="1"/>
    <col min="4" max="4" width="16" bestFit="1" customWidth="1"/>
    <col min="5" max="5" width="41.7109375" style="5" customWidth="1"/>
    <col min="6" max="6" width="13.28515625" bestFit="1" customWidth="1"/>
    <col min="7" max="7" width="12.85546875" bestFit="1" customWidth="1"/>
    <col min="8" max="8" width="16.85546875" style="60" bestFit="1" customWidth="1"/>
    <col min="9" max="9" width="12.85546875" bestFit="1" customWidth="1"/>
    <col min="10" max="10" width="13.85546875" bestFit="1" customWidth="1"/>
    <col min="11" max="11" width="14.7109375" style="31" bestFit="1" customWidth="1"/>
    <col min="12" max="13" width="12.5703125" bestFit="1" customWidth="1"/>
  </cols>
  <sheetData>
    <row r="1" spans="1:15" ht="23.25" customHeight="1" x14ac:dyDescent="0.25">
      <c r="C1" t="s">
        <v>0</v>
      </c>
      <c r="E1" s="75" t="s">
        <v>101</v>
      </c>
      <c r="F1" s="75"/>
      <c r="G1" s="75"/>
      <c r="H1" s="75"/>
      <c r="I1" s="75"/>
      <c r="J1" s="75"/>
      <c r="K1" s="75"/>
      <c r="L1" s="18">
        <f>SUM(F6:F116)/2</f>
        <v>25357598.240000002</v>
      </c>
      <c r="M1" s="18">
        <f>SUM(J6:J116)/2</f>
        <v>28451758.615000002</v>
      </c>
    </row>
    <row r="2" spans="1:15" x14ac:dyDescent="0.25">
      <c r="C2" t="s">
        <v>195</v>
      </c>
    </row>
    <row r="3" spans="1:15" x14ac:dyDescent="0.25">
      <c r="C3" t="s">
        <v>1</v>
      </c>
    </row>
    <row r="5" spans="1:15" s="2" customFormat="1" ht="17.25" x14ac:dyDescent="0.4">
      <c r="A5" s="3" t="s">
        <v>53</v>
      </c>
      <c r="B5" s="3" t="s">
        <v>115</v>
      </c>
      <c r="C5" s="2" t="s">
        <v>3</v>
      </c>
      <c r="D5" s="2" t="s">
        <v>103</v>
      </c>
      <c r="E5" s="2" t="s">
        <v>4</v>
      </c>
      <c r="F5" s="3" t="s">
        <v>5</v>
      </c>
      <c r="G5" s="51" t="s">
        <v>93</v>
      </c>
      <c r="H5" s="52" t="s">
        <v>167</v>
      </c>
      <c r="I5" s="3" t="s">
        <v>89</v>
      </c>
      <c r="J5" s="3" t="s">
        <v>10</v>
      </c>
      <c r="K5" s="32" t="s">
        <v>51</v>
      </c>
    </row>
    <row r="6" spans="1:15" s="14" customFormat="1" x14ac:dyDescent="0.25">
      <c r="A6" s="16"/>
      <c r="B6" s="16" t="s">
        <v>52</v>
      </c>
      <c r="C6" s="14" t="s">
        <v>27</v>
      </c>
      <c r="E6" s="23" t="s">
        <v>29</v>
      </c>
      <c r="F6" s="24">
        <v>75000</v>
      </c>
      <c r="G6" s="24">
        <f>-F6</f>
        <v>-75000</v>
      </c>
      <c r="H6" s="61">
        <f>+F6+G6</f>
        <v>0</v>
      </c>
      <c r="I6" s="24">
        <v>0</v>
      </c>
      <c r="J6" s="15"/>
      <c r="K6" s="33" t="s">
        <v>52</v>
      </c>
    </row>
    <row r="7" spans="1:15" s="14" customFormat="1" x14ac:dyDescent="0.25">
      <c r="A7" s="16"/>
      <c r="B7" s="16" t="s">
        <v>52</v>
      </c>
      <c r="C7" s="17" t="s">
        <v>28</v>
      </c>
      <c r="D7" s="17"/>
      <c r="E7" s="25" t="s">
        <v>30</v>
      </c>
      <c r="F7" s="26">
        <v>195000</v>
      </c>
      <c r="G7" s="26">
        <f>-F7</f>
        <v>-195000</v>
      </c>
      <c r="H7" s="62">
        <f>+F7+G7</f>
        <v>0</v>
      </c>
      <c r="I7" s="26">
        <v>0</v>
      </c>
      <c r="J7" s="15"/>
      <c r="K7" s="33" t="s">
        <v>52</v>
      </c>
      <c r="L7" s="14">
        <v>2021</v>
      </c>
      <c r="M7" s="14">
        <v>2022</v>
      </c>
      <c r="N7" s="14">
        <v>2023</v>
      </c>
      <c r="O7" s="14">
        <v>2024</v>
      </c>
    </row>
    <row r="8" spans="1:15" s="14" customFormat="1" x14ac:dyDescent="0.25">
      <c r="A8" s="16"/>
      <c r="B8" s="16" t="s">
        <v>91</v>
      </c>
      <c r="C8" s="17"/>
      <c r="D8" s="17"/>
      <c r="E8" s="25" t="s">
        <v>90</v>
      </c>
      <c r="F8" s="26">
        <v>1534634.42</v>
      </c>
      <c r="G8" s="26"/>
      <c r="H8" s="62">
        <f>+F8+G8</f>
        <v>1534634.42</v>
      </c>
      <c r="I8" s="26">
        <f>-1534634.42</f>
        <v>-1534634.42</v>
      </c>
      <c r="J8" s="15"/>
      <c r="K8" s="33" t="s">
        <v>91</v>
      </c>
    </row>
    <row r="9" spans="1:15" s="14" customFormat="1" ht="30" x14ac:dyDescent="0.25">
      <c r="A9" s="16">
        <v>1</v>
      </c>
      <c r="B9" s="16"/>
      <c r="C9" s="17"/>
      <c r="D9" s="17"/>
      <c r="E9" s="25" t="s">
        <v>66</v>
      </c>
      <c r="F9" s="26">
        <f>SUM(L9:O9)</f>
        <v>2200000</v>
      </c>
      <c r="G9" s="26"/>
      <c r="H9" s="62">
        <f t="shared" ref="H9:H16" si="0">+F9+G9</f>
        <v>2200000</v>
      </c>
      <c r="I9" s="26"/>
      <c r="J9" s="15"/>
      <c r="K9" s="33"/>
      <c r="L9" s="14">
        <f>1500000*0.8</f>
        <v>1200000</v>
      </c>
      <c r="M9" s="14">
        <f>1500000*0.4</f>
        <v>600000</v>
      </c>
      <c r="N9" s="14">
        <f>1500000*0.2</f>
        <v>300000</v>
      </c>
      <c r="O9" s="14">
        <v>100000</v>
      </c>
    </row>
    <row r="10" spans="1:15" s="14" customFormat="1" ht="30" x14ac:dyDescent="0.25">
      <c r="A10" s="16">
        <v>1</v>
      </c>
      <c r="B10" s="16"/>
      <c r="C10" s="17"/>
      <c r="D10" s="17"/>
      <c r="E10" s="25" t="s">
        <v>72</v>
      </c>
      <c r="F10" s="26">
        <v>2000000</v>
      </c>
      <c r="G10" s="26"/>
      <c r="H10" s="62">
        <f t="shared" si="0"/>
        <v>2000000</v>
      </c>
      <c r="I10" s="26"/>
      <c r="J10" s="15"/>
      <c r="K10" s="33"/>
    </row>
    <row r="11" spans="1:15" s="14" customFormat="1" ht="30" x14ac:dyDescent="0.25">
      <c r="A11" s="16">
        <v>1</v>
      </c>
      <c r="B11" s="16" t="s">
        <v>91</v>
      </c>
      <c r="E11" s="25" t="s">
        <v>31</v>
      </c>
      <c r="F11" s="26">
        <v>625000</v>
      </c>
      <c r="G11" s="26">
        <v>235000</v>
      </c>
      <c r="H11" s="62">
        <f t="shared" si="0"/>
        <v>860000</v>
      </c>
      <c r="I11" s="26">
        <f>-95893.85-451261.73-29433.76</f>
        <v>-576589.34</v>
      </c>
      <c r="J11" s="15"/>
      <c r="K11" s="33" t="s">
        <v>91</v>
      </c>
    </row>
    <row r="12" spans="1:15" s="14" customFormat="1" ht="30" x14ac:dyDescent="0.25">
      <c r="A12" s="16">
        <v>1</v>
      </c>
      <c r="B12" s="16" t="s">
        <v>91</v>
      </c>
      <c r="E12" s="25" t="s">
        <v>32</v>
      </c>
      <c r="F12" s="26">
        <v>180000</v>
      </c>
      <c r="G12" s="26"/>
      <c r="H12" s="62">
        <f t="shared" si="0"/>
        <v>180000</v>
      </c>
      <c r="I12" s="26">
        <f>-(166051.14+16147.5)</f>
        <v>-182198.64</v>
      </c>
      <c r="J12" s="15"/>
      <c r="K12" s="33" t="s">
        <v>91</v>
      </c>
    </row>
    <row r="13" spans="1:15" s="14" customFormat="1" ht="30" x14ac:dyDescent="0.25">
      <c r="A13" s="16"/>
      <c r="B13" s="16"/>
      <c r="E13" s="25" t="s">
        <v>147</v>
      </c>
      <c r="F13" s="26"/>
      <c r="G13" s="26"/>
      <c r="H13" s="62">
        <f t="shared" si="0"/>
        <v>0</v>
      </c>
      <c r="I13" s="26"/>
      <c r="J13" s="15"/>
      <c r="K13" s="33"/>
    </row>
    <row r="14" spans="1:15" s="14" customFormat="1" x14ac:dyDescent="0.25">
      <c r="A14" s="16">
        <v>1</v>
      </c>
      <c r="B14" s="16" t="s">
        <v>148</v>
      </c>
      <c r="E14" s="25" t="s">
        <v>144</v>
      </c>
      <c r="F14" s="46">
        <v>504400</v>
      </c>
      <c r="G14" s="46"/>
      <c r="H14" s="62">
        <f t="shared" si="0"/>
        <v>504400</v>
      </c>
      <c r="I14" s="46"/>
      <c r="J14" s="47"/>
      <c r="K14" s="33"/>
    </row>
    <row r="15" spans="1:15" s="14" customFormat="1" x14ac:dyDescent="0.25">
      <c r="A15" s="16">
        <v>1</v>
      </c>
      <c r="B15" s="16" t="s">
        <v>123</v>
      </c>
      <c r="E15" s="25" t="s">
        <v>145</v>
      </c>
      <c r="F15" s="46">
        <v>246000</v>
      </c>
      <c r="G15" s="46"/>
      <c r="H15" s="62">
        <f t="shared" si="0"/>
        <v>246000</v>
      </c>
      <c r="I15" s="46"/>
      <c r="J15" s="47"/>
      <c r="K15" s="33"/>
    </row>
    <row r="16" spans="1:15" s="8" customFormat="1" x14ac:dyDescent="0.25">
      <c r="A16" s="10">
        <v>1</v>
      </c>
      <c r="B16" s="10" t="s">
        <v>149</v>
      </c>
      <c r="E16" s="9" t="s">
        <v>146</v>
      </c>
      <c r="F16" s="44">
        <v>165000</v>
      </c>
      <c r="G16" s="44"/>
      <c r="H16" s="63">
        <f t="shared" si="0"/>
        <v>165000</v>
      </c>
      <c r="I16" s="44"/>
      <c r="J16" s="48">
        <f>SUM(F6:F16)+SUM(G6:G16)+SUM(I6:I16)</f>
        <v>5396612.0199999996</v>
      </c>
      <c r="K16" s="34"/>
    </row>
    <row r="17" spans="1:12" s="8" customFormat="1" ht="30" x14ac:dyDescent="0.25">
      <c r="A17" s="10">
        <v>1</v>
      </c>
      <c r="B17" s="10" t="s">
        <v>112</v>
      </c>
      <c r="C17" s="9" t="s">
        <v>49</v>
      </c>
      <c r="D17" s="9" t="s">
        <v>114</v>
      </c>
      <c r="E17" s="9" t="s">
        <v>50</v>
      </c>
      <c r="F17" s="44">
        <v>750000</v>
      </c>
      <c r="G17" s="44"/>
      <c r="H17" s="63">
        <f>+F17+G17</f>
        <v>750000</v>
      </c>
      <c r="I17" s="44"/>
      <c r="J17" s="45">
        <f>+F17+G17</f>
        <v>750000</v>
      </c>
      <c r="K17" s="34"/>
    </row>
    <row r="18" spans="1:12" s="4" customFormat="1" ht="30" x14ac:dyDescent="0.25">
      <c r="A18" s="6">
        <v>1</v>
      </c>
      <c r="B18" s="6" t="s">
        <v>163</v>
      </c>
      <c r="C18" s="4" t="s">
        <v>18</v>
      </c>
      <c r="D18" s="4" t="s">
        <v>164</v>
      </c>
      <c r="E18" s="25" t="s">
        <v>19</v>
      </c>
      <c r="F18" s="46">
        <v>100000</v>
      </c>
      <c r="G18" s="46"/>
      <c r="H18" s="62">
        <f>+G18+F18</f>
        <v>100000</v>
      </c>
      <c r="I18" s="46"/>
      <c r="J18" s="49"/>
      <c r="K18" s="35"/>
    </row>
    <row r="19" spans="1:12" s="8" customFormat="1" x14ac:dyDescent="0.25">
      <c r="A19" s="10">
        <v>1</v>
      </c>
      <c r="B19" s="10" t="s">
        <v>165</v>
      </c>
      <c r="D19" s="8" t="s">
        <v>164</v>
      </c>
      <c r="E19" s="9" t="s">
        <v>20</v>
      </c>
      <c r="F19" s="44">
        <v>15000</v>
      </c>
      <c r="G19" s="44"/>
      <c r="H19" s="63">
        <f>+G19+F19</f>
        <v>15000</v>
      </c>
      <c r="I19" s="44"/>
      <c r="J19" s="45">
        <f>SUM(F18:F19)+G18+G19</f>
        <v>115000</v>
      </c>
      <c r="K19" s="34"/>
    </row>
    <row r="20" spans="1:12" s="4" customFormat="1" ht="30" x14ac:dyDescent="0.25">
      <c r="A20" s="6">
        <v>1</v>
      </c>
      <c r="B20" s="6" t="s">
        <v>122</v>
      </c>
      <c r="C20" s="4" t="s">
        <v>25</v>
      </c>
      <c r="D20" s="4" t="s">
        <v>118</v>
      </c>
      <c r="E20" s="25" t="s">
        <v>23</v>
      </c>
      <c r="F20" s="46">
        <v>50000</v>
      </c>
      <c r="G20" s="46"/>
      <c r="H20" s="62">
        <f>+G20+F20</f>
        <v>50000</v>
      </c>
      <c r="I20" s="46"/>
      <c r="J20" s="49"/>
      <c r="K20" s="35"/>
    </row>
    <row r="21" spans="1:12" s="8" customFormat="1" ht="30" x14ac:dyDescent="0.25">
      <c r="A21" s="10">
        <v>1</v>
      </c>
      <c r="B21" s="10" t="s">
        <v>116</v>
      </c>
      <c r="D21" s="8" t="s">
        <v>118</v>
      </c>
      <c r="E21" s="9" t="s">
        <v>117</v>
      </c>
      <c r="F21" s="44">
        <v>75000</v>
      </c>
      <c r="G21" s="44"/>
      <c r="H21" s="63">
        <f>+G21+F21</f>
        <v>75000</v>
      </c>
      <c r="I21" s="44"/>
      <c r="J21" s="45">
        <f>SUM(F20:F21)+G20+G21</f>
        <v>125000</v>
      </c>
      <c r="K21" s="34"/>
    </row>
    <row r="22" spans="1:12" s="4" customFormat="1" x14ac:dyDescent="0.25">
      <c r="A22" s="6">
        <v>1</v>
      </c>
      <c r="B22" s="6" t="s">
        <v>92</v>
      </c>
      <c r="C22" s="4" t="s">
        <v>26</v>
      </c>
      <c r="D22" s="4" t="s">
        <v>160</v>
      </c>
      <c r="E22" s="25" t="s">
        <v>34</v>
      </c>
      <c r="F22" s="46">
        <f>ROUND((7500*26)*1.2065,-3)</f>
        <v>235000</v>
      </c>
      <c r="G22" s="46">
        <v>-235000</v>
      </c>
      <c r="H22" s="62">
        <f>+G22+F22</f>
        <v>0</v>
      </c>
      <c r="I22" s="46"/>
      <c r="J22" s="49"/>
      <c r="K22" s="35" t="s">
        <v>92</v>
      </c>
    </row>
    <row r="23" spans="1:12" s="4" customFormat="1" ht="30" x14ac:dyDescent="0.25">
      <c r="A23" s="6">
        <v>6</v>
      </c>
      <c r="B23" s="6" t="s">
        <v>159</v>
      </c>
      <c r="E23" s="25" t="s">
        <v>85</v>
      </c>
      <c r="F23" s="46">
        <v>165000</v>
      </c>
      <c r="G23" s="46">
        <v>-165000</v>
      </c>
      <c r="H23" s="62">
        <f>+F23+G23</f>
        <v>0</v>
      </c>
      <c r="I23" s="46"/>
      <c r="J23" s="49"/>
      <c r="K23" s="35" t="s">
        <v>100</v>
      </c>
      <c r="L23" s="4" t="s">
        <v>84</v>
      </c>
    </row>
    <row r="24" spans="1:12" s="8" customFormat="1" x14ac:dyDescent="0.25">
      <c r="A24" s="10">
        <v>1</v>
      </c>
      <c r="B24" s="10" t="s">
        <v>108</v>
      </c>
      <c r="E24" s="9" t="s">
        <v>35</v>
      </c>
      <c r="F24" s="44">
        <v>50000</v>
      </c>
      <c r="G24" s="44"/>
      <c r="H24" s="63">
        <f>+G24+F24</f>
        <v>50000</v>
      </c>
      <c r="I24" s="44"/>
      <c r="J24" s="45">
        <f>SUM(F22:F24)+G23+G24+G22</f>
        <v>50000</v>
      </c>
      <c r="K24" s="34"/>
    </row>
    <row r="25" spans="1:12" s="4" customFormat="1" ht="30" x14ac:dyDescent="0.25">
      <c r="A25" s="6">
        <v>2</v>
      </c>
      <c r="B25" s="76"/>
      <c r="C25" s="4" t="s">
        <v>7</v>
      </c>
      <c r="E25" s="25" t="s">
        <v>8</v>
      </c>
      <c r="F25" s="46">
        <v>255000</v>
      </c>
      <c r="G25" s="46"/>
      <c r="H25" s="62">
        <f>+G25+F25</f>
        <v>255000</v>
      </c>
      <c r="I25" s="46"/>
      <c r="J25" s="50"/>
      <c r="K25" s="35"/>
    </row>
    <row r="26" spans="1:12" s="4" customFormat="1" x14ac:dyDescent="0.25">
      <c r="A26" s="6">
        <v>1</v>
      </c>
      <c r="B26" s="76"/>
      <c r="E26" s="25" t="s">
        <v>11</v>
      </c>
      <c r="F26" s="46">
        <v>100000</v>
      </c>
      <c r="G26" s="46"/>
      <c r="H26" s="62">
        <f>+F26+G26</f>
        <v>100000</v>
      </c>
      <c r="I26" s="46"/>
      <c r="J26" s="49"/>
      <c r="K26" s="35"/>
    </row>
    <row r="27" spans="1:12" s="8" customFormat="1" x14ac:dyDescent="0.25">
      <c r="A27" s="10">
        <v>2</v>
      </c>
      <c r="B27" s="77"/>
      <c r="E27" s="9" t="s">
        <v>9</v>
      </c>
      <c r="F27" s="44">
        <v>95000</v>
      </c>
      <c r="G27" s="44"/>
      <c r="H27" s="63">
        <f>+G27+F27</f>
        <v>95000</v>
      </c>
      <c r="I27" s="44"/>
      <c r="J27" s="45">
        <f>SUM(F25:F27)+G26+G27+G25</f>
        <v>450000</v>
      </c>
      <c r="K27" s="34"/>
    </row>
    <row r="28" spans="1:12" s="4" customFormat="1" x14ac:dyDescent="0.25">
      <c r="A28" s="6">
        <v>5</v>
      </c>
      <c r="B28" s="6" t="s">
        <v>125</v>
      </c>
      <c r="C28" s="4" t="s">
        <v>12</v>
      </c>
      <c r="D28" s="4" t="s">
        <v>124</v>
      </c>
      <c r="E28" s="25" t="s">
        <v>13</v>
      </c>
      <c r="F28" s="46">
        <v>1000000</v>
      </c>
      <c r="G28" s="46">
        <v>-400000</v>
      </c>
      <c r="H28" s="62">
        <f>+G28+F28</f>
        <v>600000</v>
      </c>
      <c r="I28" s="46"/>
      <c r="J28" s="49"/>
      <c r="K28" s="35"/>
    </row>
    <row r="29" spans="1:12" s="4" customFormat="1" x14ac:dyDescent="0.25">
      <c r="A29" s="6">
        <v>2</v>
      </c>
      <c r="B29" s="6" t="s">
        <v>166</v>
      </c>
      <c r="D29" s="4" t="s">
        <v>124</v>
      </c>
      <c r="E29" s="25" t="s">
        <v>17</v>
      </c>
      <c r="F29" s="46">
        <v>100000</v>
      </c>
      <c r="G29" s="46"/>
      <c r="H29" s="62">
        <f>+F29+G29</f>
        <v>100000</v>
      </c>
      <c r="I29" s="46"/>
      <c r="J29" s="49"/>
      <c r="K29" s="35"/>
    </row>
    <row r="30" spans="1:12" s="4" customFormat="1" x14ac:dyDescent="0.25">
      <c r="A30" s="6">
        <v>2</v>
      </c>
      <c r="B30" s="6" t="s">
        <v>100</v>
      </c>
      <c r="D30" s="4" t="s">
        <v>124</v>
      </c>
      <c r="E30" s="25" t="s">
        <v>14</v>
      </c>
      <c r="F30" s="46">
        <v>517077</v>
      </c>
      <c r="G30" s="46">
        <v>-517077</v>
      </c>
      <c r="H30" s="62">
        <f>+F30+G30</f>
        <v>0</v>
      </c>
      <c r="I30" s="46"/>
      <c r="J30" s="49"/>
      <c r="K30" s="35" t="s">
        <v>100</v>
      </c>
    </row>
    <row r="31" spans="1:12" s="8" customFormat="1" x14ac:dyDescent="0.25">
      <c r="A31" s="10">
        <v>2</v>
      </c>
      <c r="B31" s="10"/>
      <c r="E31" s="9" t="s">
        <v>15</v>
      </c>
      <c r="F31" s="44">
        <v>88552</v>
      </c>
      <c r="G31" s="44"/>
      <c r="H31" s="63">
        <f>+G31+F31</f>
        <v>88552</v>
      </c>
      <c r="I31" s="44"/>
      <c r="J31" s="45">
        <f>SUM(F28:F31)+SUM(G28:G31)</f>
        <v>788552</v>
      </c>
      <c r="K31" s="34"/>
    </row>
    <row r="32" spans="1:12" s="8" customFormat="1" ht="30" x14ac:dyDescent="0.25">
      <c r="A32" s="10">
        <v>2</v>
      </c>
      <c r="B32" s="10" t="s">
        <v>168</v>
      </c>
      <c r="C32" s="43" t="s">
        <v>169</v>
      </c>
      <c r="D32" s="8" t="s">
        <v>170</v>
      </c>
      <c r="E32" s="9" t="s">
        <v>171</v>
      </c>
      <c r="F32" s="44">
        <v>157702</v>
      </c>
      <c r="G32" s="44"/>
      <c r="H32" s="63">
        <f>+F32+G32</f>
        <v>157702</v>
      </c>
      <c r="I32" s="44"/>
      <c r="J32" s="45">
        <f>+F32+G32</f>
        <v>157702</v>
      </c>
      <c r="K32" s="34"/>
    </row>
    <row r="33" spans="1:15" s="8" customFormat="1" x14ac:dyDescent="0.25">
      <c r="A33" s="10">
        <v>3</v>
      </c>
      <c r="B33" s="10" t="s">
        <v>111</v>
      </c>
      <c r="C33" s="8" t="s">
        <v>87</v>
      </c>
      <c r="D33" s="8" t="s">
        <v>113</v>
      </c>
      <c r="E33" s="9" t="s">
        <v>88</v>
      </c>
      <c r="F33" s="44">
        <v>150000</v>
      </c>
      <c r="G33" s="44"/>
      <c r="H33" s="63">
        <f>+F33+G33</f>
        <v>150000</v>
      </c>
      <c r="I33" s="44"/>
      <c r="J33" s="45">
        <f>+F33+G33</f>
        <v>150000</v>
      </c>
      <c r="K33" s="34"/>
    </row>
    <row r="34" spans="1:15" s="4" customFormat="1" x14ac:dyDescent="0.25">
      <c r="A34" s="6">
        <v>4</v>
      </c>
      <c r="B34" s="6" t="s">
        <v>110</v>
      </c>
      <c r="C34" s="5" t="s">
        <v>36</v>
      </c>
      <c r="D34" s="4" t="s">
        <v>109</v>
      </c>
      <c r="E34" s="25" t="s">
        <v>37</v>
      </c>
      <c r="F34" s="46">
        <f>21000+1250</f>
        <v>22250</v>
      </c>
      <c r="G34" s="46">
        <v>-22250</v>
      </c>
      <c r="H34" s="62">
        <f>+G34+F34</f>
        <v>0</v>
      </c>
      <c r="I34" s="46"/>
      <c r="J34" s="49"/>
      <c r="K34" s="67" t="s">
        <v>100</v>
      </c>
    </row>
    <row r="35" spans="1:15" s="8" customFormat="1" x14ac:dyDescent="0.25">
      <c r="A35" s="10">
        <v>4</v>
      </c>
      <c r="B35" s="10" t="s">
        <v>110</v>
      </c>
      <c r="D35" s="8" t="s">
        <v>109</v>
      </c>
      <c r="E35" s="9" t="s">
        <v>38</v>
      </c>
      <c r="F35" s="44">
        <v>9000</v>
      </c>
      <c r="G35" s="44">
        <v>-9000</v>
      </c>
      <c r="H35" s="63">
        <f>+G35+F35</f>
        <v>0</v>
      </c>
      <c r="I35" s="44"/>
      <c r="J35" s="45">
        <f>SUM(F34:F35)+G34+G35</f>
        <v>0</v>
      </c>
      <c r="K35" s="68" t="s">
        <v>100</v>
      </c>
    </row>
    <row r="36" spans="1:15" s="4" customFormat="1" ht="30" x14ac:dyDescent="0.25">
      <c r="A36" s="6">
        <v>4</v>
      </c>
      <c r="B36" s="6" t="s">
        <v>133</v>
      </c>
      <c r="C36" s="5" t="s">
        <v>47</v>
      </c>
      <c r="D36" s="4" t="s">
        <v>132</v>
      </c>
      <c r="E36" s="25" t="s">
        <v>46</v>
      </c>
      <c r="F36" s="46">
        <v>20000</v>
      </c>
      <c r="G36" s="46"/>
      <c r="H36" s="62">
        <f>+G36+F36</f>
        <v>20000</v>
      </c>
      <c r="I36" s="46"/>
      <c r="J36" s="50"/>
      <c r="K36" s="35"/>
    </row>
    <row r="37" spans="1:15" s="8" customFormat="1" x14ac:dyDescent="0.25">
      <c r="A37" s="10"/>
      <c r="B37" s="10" t="s">
        <v>133</v>
      </c>
      <c r="C37" s="9"/>
      <c r="D37" s="9" t="s">
        <v>132</v>
      </c>
      <c r="E37" s="9" t="s">
        <v>150</v>
      </c>
      <c r="F37" s="44">
        <v>15000</v>
      </c>
      <c r="G37" s="44"/>
      <c r="H37" s="69">
        <f>+F37+G37</f>
        <v>15000</v>
      </c>
      <c r="I37" s="44"/>
      <c r="J37" s="45">
        <f>SUM(F36:F37)+SUM(G36:G37)</f>
        <v>35000</v>
      </c>
      <c r="K37" s="34"/>
    </row>
    <row r="38" spans="1:15" s="8" customFormat="1" x14ac:dyDescent="0.25">
      <c r="A38" s="10">
        <v>4</v>
      </c>
      <c r="B38" s="10" t="s">
        <v>161</v>
      </c>
      <c r="C38" s="8" t="s">
        <v>63</v>
      </c>
      <c r="E38" s="9" t="s">
        <v>64</v>
      </c>
      <c r="F38" s="44">
        <v>10000</v>
      </c>
      <c r="G38" s="44"/>
      <c r="H38" s="63">
        <f>+G38+F38</f>
        <v>10000</v>
      </c>
      <c r="I38" s="44"/>
      <c r="J38" s="45">
        <f>+F38+G38</f>
        <v>10000</v>
      </c>
      <c r="K38" s="34"/>
    </row>
    <row r="39" spans="1:15" s="8" customFormat="1" x14ac:dyDescent="0.25">
      <c r="A39" s="10"/>
      <c r="B39" s="10" t="s">
        <v>179</v>
      </c>
      <c r="C39" s="70" t="s">
        <v>63</v>
      </c>
      <c r="E39" s="9" t="s">
        <v>64</v>
      </c>
      <c r="F39" s="44">
        <v>24488</v>
      </c>
      <c r="G39" s="44"/>
      <c r="H39" s="63">
        <f>+F39+G39</f>
        <v>24488</v>
      </c>
      <c r="I39" s="44"/>
      <c r="J39" s="45"/>
      <c r="K39" s="34"/>
    </row>
    <row r="40" spans="1:15" s="8" customFormat="1" x14ac:dyDescent="0.25">
      <c r="A40" s="10">
        <v>4</v>
      </c>
      <c r="B40" s="10" t="s">
        <v>152</v>
      </c>
      <c r="C40" s="8" t="s">
        <v>82</v>
      </c>
      <c r="D40" s="8" t="s">
        <v>151</v>
      </c>
      <c r="E40" s="9" t="s">
        <v>83</v>
      </c>
      <c r="F40" s="44">
        <v>10000</v>
      </c>
      <c r="G40" s="44"/>
      <c r="H40" s="63">
        <f>+F40+G40</f>
        <v>10000</v>
      </c>
      <c r="I40" s="44"/>
      <c r="J40" s="45">
        <f>+F40+G40</f>
        <v>10000</v>
      </c>
      <c r="K40" s="34" t="s">
        <v>162</v>
      </c>
    </row>
    <row r="41" spans="1:15" s="4" customFormat="1" x14ac:dyDescent="0.25">
      <c r="A41" s="6">
        <v>5</v>
      </c>
      <c r="B41" s="6" t="s">
        <v>157</v>
      </c>
      <c r="C41" s="4" t="s">
        <v>42</v>
      </c>
      <c r="D41" s="4" t="s">
        <v>158</v>
      </c>
      <c r="E41" s="25" t="s">
        <v>59</v>
      </c>
      <c r="F41" s="46">
        <v>912805</v>
      </c>
      <c r="G41" s="46"/>
      <c r="H41" s="62">
        <f>+G41+F41</f>
        <v>912805</v>
      </c>
      <c r="I41" s="46"/>
      <c r="J41" s="49"/>
      <c r="K41" s="35"/>
    </row>
    <row r="42" spans="1:15" s="8" customFormat="1" x14ac:dyDescent="0.25">
      <c r="A42" s="10">
        <v>4</v>
      </c>
      <c r="B42" s="10" t="s">
        <v>100</v>
      </c>
      <c r="D42" s="8" t="s">
        <v>153</v>
      </c>
      <c r="E42" s="9" t="s">
        <v>43</v>
      </c>
      <c r="F42" s="44">
        <v>30500</v>
      </c>
      <c r="G42" s="44">
        <v>-30500</v>
      </c>
      <c r="H42" s="63">
        <f>+G42+F42</f>
        <v>0</v>
      </c>
      <c r="I42" s="44"/>
      <c r="J42" s="45">
        <f>SUM(F41:F42)+G41+G42</f>
        <v>912805</v>
      </c>
      <c r="K42" s="34" t="s">
        <v>100</v>
      </c>
    </row>
    <row r="43" spans="1:15" s="4" customFormat="1" x14ac:dyDescent="0.25">
      <c r="A43" s="6">
        <v>4</v>
      </c>
      <c r="B43" s="6" t="s">
        <v>126</v>
      </c>
      <c r="C43" s="4" t="s">
        <v>60</v>
      </c>
      <c r="D43" s="4" t="s">
        <v>127</v>
      </c>
      <c r="E43" s="25" t="s">
        <v>61</v>
      </c>
      <c r="F43" s="46">
        <f>42000+44000</f>
        <v>86000</v>
      </c>
      <c r="G43" s="46"/>
      <c r="H43" s="62">
        <f>+G43+F43</f>
        <v>86000</v>
      </c>
      <c r="I43" s="46"/>
      <c r="J43" s="49"/>
      <c r="K43" s="35"/>
    </row>
    <row r="44" spans="1:15" s="8" customFormat="1" x14ac:dyDescent="0.25">
      <c r="A44" s="10">
        <v>4</v>
      </c>
      <c r="B44" s="10" t="s">
        <v>128</v>
      </c>
      <c r="D44" s="8" t="s">
        <v>127</v>
      </c>
      <c r="E44" s="9" t="s">
        <v>62</v>
      </c>
      <c r="F44" s="44">
        <v>18000</v>
      </c>
      <c r="G44" s="44"/>
      <c r="H44" s="63">
        <f>+G44+F44</f>
        <v>18000</v>
      </c>
      <c r="I44" s="44"/>
      <c r="J44" s="45">
        <f>SUM(F43:F44)+G43+G44</f>
        <v>104000</v>
      </c>
      <c r="K44" s="34"/>
    </row>
    <row r="45" spans="1:15" s="8" customFormat="1" x14ac:dyDescent="0.25">
      <c r="A45" s="10">
        <v>4</v>
      </c>
      <c r="B45" s="10" t="s">
        <v>138</v>
      </c>
      <c r="C45" s="8" t="s">
        <v>16</v>
      </c>
      <c r="D45" s="8" t="s">
        <v>139</v>
      </c>
      <c r="E45" s="9" t="s">
        <v>44</v>
      </c>
      <c r="F45" s="44">
        <v>60000</v>
      </c>
      <c r="G45" s="44"/>
      <c r="H45" s="63">
        <f>+F45+G45</f>
        <v>60000</v>
      </c>
      <c r="I45" s="44"/>
      <c r="J45" s="45">
        <f>+F45+G45</f>
        <v>60000</v>
      </c>
      <c r="K45" s="34"/>
      <c r="N45" s="8">
        <f>126-33-1+4</f>
        <v>96</v>
      </c>
      <c r="O45" s="8">
        <f>N45*3000*1.1765</f>
        <v>338832.00000000006</v>
      </c>
    </row>
    <row r="46" spans="1:15" s="4" customFormat="1" ht="30" x14ac:dyDescent="0.25">
      <c r="A46" s="6">
        <v>4</v>
      </c>
      <c r="B46" s="6" t="s">
        <v>120</v>
      </c>
      <c r="C46" s="5" t="s">
        <v>86</v>
      </c>
      <c r="D46" s="5" t="s">
        <v>119</v>
      </c>
      <c r="E46" s="25" t="s">
        <v>21</v>
      </c>
      <c r="F46" s="46">
        <v>65000</v>
      </c>
      <c r="G46" s="46"/>
      <c r="H46" s="62">
        <f>+G46+F46</f>
        <v>65000</v>
      </c>
      <c r="I46" s="46"/>
      <c r="J46" s="49"/>
      <c r="K46" s="35"/>
      <c r="N46" s="4">
        <f>126-33-1+4</f>
        <v>96</v>
      </c>
      <c r="O46" s="4">
        <f>N46*3000*1.1765</f>
        <v>338832.00000000006</v>
      </c>
    </row>
    <row r="47" spans="1:15" s="8" customFormat="1" x14ac:dyDescent="0.25">
      <c r="A47" s="10">
        <v>4</v>
      </c>
      <c r="B47" s="10" t="s">
        <v>121</v>
      </c>
      <c r="D47" s="8" t="s">
        <v>119</v>
      </c>
      <c r="E47" s="9" t="s">
        <v>22</v>
      </c>
      <c r="F47" s="44">
        <v>150000</v>
      </c>
      <c r="G47" s="44"/>
      <c r="H47" s="63">
        <f>+G47+F47</f>
        <v>150000</v>
      </c>
      <c r="I47" s="44"/>
      <c r="J47" s="45">
        <f>SUM(F46:F47)+G47+G46</f>
        <v>215000</v>
      </c>
      <c r="K47" s="34"/>
      <c r="O47" s="8" t="e">
        <f>+#REF!+O46</f>
        <v>#REF!</v>
      </c>
    </row>
    <row r="48" spans="1:15" s="4" customFormat="1" ht="30" x14ac:dyDescent="0.25">
      <c r="A48" s="6">
        <v>5</v>
      </c>
      <c r="B48" s="6"/>
      <c r="C48" s="4" t="s">
        <v>81</v>
      </c>
      <c r="E48" s="25" t="s">
        <v>73</v>
      </c>
      <c r="F48" s="46"/>
      <c r="G48" s="46"/>
      <c r="H48" s="62">
        <f>+G48+F48</f>
        <v>0</v>
      </c>
      <c r="I48" s="46"/>
      <c r="J48" s="49"/>
      <c r="K48" s="68" t="s">
        <v>100</v>
      </c>
    </row>
    <row r="49" spans="1:11" s="4" customFormat="1" ht="30" x14ac:dyDescent="0.25">
      <c r="A49" s="6">
        <v>5</v>
      </c>
      <c r="B49" s="6" t="s">
        <v>130</v>
      </c>
      <c r="D49" s="4" t="s">
        <v>131</v>
      </c>
      <c r="E49" s="25" t="s">
        <v>129</v>
      </c>
      <c r="F49" s="46">
        <v>2125000</v>
      </c>
      <c r="G49" s="46">
        <f>5091900-2125000</f>
        <v>2966900</v>
      </c>
      <c r="H49" s="62">
        <f>+F49+G49</f>
        <v>5091900</v>
      </c>
      <c r="I49" s="46"/>
      <c r="J49" s="49"/>
      <c r="K49" s="35"/>
    </row>
    <row r="50" spans="1:11" s="4" customFormat="1" x14ac:dyDescent="0.25">
      <c r="A50" s="6">
        <v>6</v>
      </c>
      <c r="B50" s="6"/>
      <c r="E50" s="25" t="s">
        <v>75</v>
      </c>
      <c r="F50" s="46"/>
      <c r="G50" s="46"/>
      <c r="H50" s="62">
        <f>+F50+G50</f>
        <v>0</v>
      </c>
      <c r="I50" s="46"/>
      <c r="J50" s="49"/>
      <c r="K50" s="68" t="s">
        <v>100</v>
      </c>
    </row>
    <row r="51" spans="1:11" s="4" customFormat="1" ht="30" x14ac:dyDescent="0.25">
      <c r="A51" s="6">
        <v>5</v>
      </c>
      <c r="B51" s="6"/>
      <c r="E51" s="25" t="s">
        <v>76</v>
      </c>
      <c r="F51" s="46"/>
      <c r="G51" s="46"/>
      <c r="H51" s="62">
        <f t="shared" ref="H51:H52" si="1">+F51+G51</f>
        <v>0</v>
      </c>
      <c r="I51" s="46"/>
      <c r="J51" s="49"/>
      <c r="K51" s="68" t="s">
        <v>100</v>
      </c>
    </row>
    <row r="52" spans="1:11" s="4" customFormat="1" x14ac:dyDescent="0.25">
      <c r="A52" s="6">
        <v>5</v>
      </c>
      <c r="B52" s="6"/>
      <c r="E52" s="25" t="s">
        <v>77</v>
      </c>
      <c r="F52" s="46"/>
      <c r="G52" s="46"/>
      <c r="H52" s="62">
        <f t="shared" si="1"/>
        <v>0</v>
      </c>
      <c r="I52" s="46"/>
      <c r="J52" s="49"/>
      <c r="K52" s="68" t="s">
        <v>100</v>
      </c>
    </row>
    <row r="53" spans="1:11" s="8" customFormat="1" x14ac:dyDescent="0.25">
      <c r="A53" s="10">
        <v>6</v>
      </c>
      <c r="B53" s="10"/>
      <c r="E53" s="9" t="s">
        <v>78</v>
      </c>
      <c r="F53" s="44"/>
      <c r="G53" s="44"/>
      <c r="H53" s="63">
        <f>+G53+F53</f>
        <v>0</v>
      </c>
      <c r="I53" s="44"/>
      <c r="J53" s="45">
        <f>SUM(F48:F53)+SUM(G48:G53)</f>
        <v>5091900</v>
      </c>
      <c r="K53" s="68" t="s">
        <v>100</v>
      </c>
    </row>
    <row r="54" spans="1:11" s="8" customFormat="1" x14ac:dyDescent="0.25">
      <c r="A54" s="10">
        <v>5</v>
      </c>
      <c r="B54" s="10" t="s">
        <v>104</v>
      </c>
      <c r="C54" s="8" t="s">
        <v>45</v>
      </c>
      <c r="D54" s="8" t="s">
        <v>102</v>
      </c>
      <c r="E54" s="9" t="s">
        <v>80</v>
      </c>
      <c r="F54" s="44">
        <v>120000</v>
      </c>
      <c r="G54" s="44"/>
      <c r="H54" s="63">
        <f>+F54+G54</f>
        <v>120000</v>
      </c>
      <c r="I54" s="44"/>
      <c r="J54" s="45">
        <f>+F54+G54</f>
        <v>120000</v>
      </c>
      <c r="K54" s="34"/>
    </row>
    <row r="55" spans="1:11" s="8" customFormat="1" ht="30" x14ac:dyDescent="0.25">
      <c r="A55" s="10">
        <v>5</v>
      </c>
      <c r="B55" s="10" t="s">
        <v>107</v>
      </c>
      <c r="C55" s="8" t="s">
        <v>2</v>
      </c>
      <c r="D55" s="8" t="s">
        <v>105</v>
      </c>
      <c r="E55" s="9" t="s">
        <v>106</v>
      </c>
      <c r="F55" s="44">
        <v>5563820</v>
      </c>
      <c r="G55" s="44">
        <f>750000-5563820</f>
        <v>-4813820</v>
      </c>
      <c r="H55" s="63">
        <f>+F55+G55</f>
        <v>750000</v>
      </c>
      <c r="I55" s="44"/>
      <c r="J55" s="45">
        <f>+F55+G55</f>
        <v>750000</v>
      </c>
      <c r="K55" s="34"/>
    </row>
    <row r="56" spans="1:11" s="8" customFormat="1" ht="30" x14ac:dyDescent="0.25">
      <c r="A56" s="10">
        <v>5</v>
      </c>
      <c r="B56" s="10" t="s">
        <v>154</v>
      </c>
      <c r="C56" s="8" t="s">
        <v>187</v>
      </c>
      <c r="D56" s="8" t="s">
        <v>155</v>
      </c>
      <c r="E56" s="9" t="s">
        <v>156</v>
      </c>
      <c r="F56" s="44">
        <v>1</v>
      </c>
      <c r="G56" s="44">
        <v>-1</v>
      </c>
      <c r="H56" s="63">
        <f>+F56+G56</f>
        <v>0</v>
      </c>
      <c r="I56" s="44"/>
      <c r="J56" s="45">
        <f>+F56+G56</f>
        <v>0</v>
      </c>
      <c r="K56" s="34"/>
    </row>
    <row r="57" spans="1:11" s="8" customFormat="1" ht="30" x14ac:dyDescent="0.25">
      <c r="A57" s="10"/>
      <c r="B57" s="10" t="s">
        <v>177</v>
      </c>
      <c r="C57" s="43" t="s">
        <v>186</v>
      </c>
      <c r="D57" s="8" t="s">
        <v>155</v>
      </c>
      <c r="E57" s="9" t="s">
        <v>156</v>
      </c>
      <c r="F57" s="44">
        <v>1153000</v>
      </c>
      <c r="G57" s="44"/>
      <c r="H57" s="63">
        <f>+F57+G57</f>
        <v>1153000</v>
      </c>
      <c r="I57" s="44"/>
      <c r="J57" s="45"/>
      <c r="K57" s="34"/>
    </row>
    <row r="58" spans="1:11" s="4" customFormat="1" x14ac:dyDescent="0.25">
      <c r="A58" s="6">
        <v>5</v>
      </c>
      <c r="B58" s="6" t="s">
        <v>142</v>
      </c>
      <c r="C58" s="4" t="s">
        <v>39</v>
      </c>
      <c r="D58" s="4" t="s">
        <v>140</v>
      </c>
      <c r="E58" s="25" t="s">
        <v>143</v>
      </c>
      <c r="F58" s="46">
        <v>450000</v>
      </c>
      <c r="G58" s="46">
        <v>-50000</v>
      </c>
      <c r="H58" s="62">
        <f>+G58+F58</f>
        <v>400000</v>
      </c>
      <c r="I58" s="46"/>
      <c r="J58" s="49"/>
      <c r="K58" s="35"/>
    </row>
    <row r="59" spans="1:11" s="8" customFormat="1" x14ac:dyDescent="0.25">
      <c r="A59" s="10">
        <v>5</v>
      </c>
      <c r="B59" s="10" t="s">
        <v>100</v>
      </c>
      <c r="E59" s="9" t="s">
        <v>99</v>
      </c>
      <c r="F59" s="44">
        <v>30000</v>
      </c>
      <c r="G59" s="44">
        <v>-30000</v>
      </c>
      <c r="H59" s="63">
        <f>+G59+F59</f>
        <v>0</v>
      </c>
      <c r="I59" s="44"/>
      <c r="J59" s="45">
        <f>SUM(F58:F59)+G59+G58</f>
        <v>400000</v>
      </c>
      <c r="K59" s="34"/>
    </row>
    <row r="60" spans="1:11" s="8" customFormat="1" ht="45" x14ac:dyDescent="0.25">
      <c r="A60" s="10">
        <v>4</v>
      </c>
      <c r="B60" s="10" t="s">
        <v>134</v>
      </c>
      <c r="C60" s="43" t="s">
        <v>135</v>
      </c>
      <c r="D60" s="8" t="s">
        <v>136</v>
      </c>
      <c r="E60" s="9" t="s">
        <v>137</v>
      </c>
      <c r="F60" s="44">
        <v>12000</v>
      </c>
      <c r="G60" s="44"/>
      <c r="H60" s="63">
        <f>+F60+G60</f>
        <v>12000</v>
      </c>
      <c r="I60" s="44"/>
      <c r="J60" s="45">
        <f>+F60+G60</f>
        <v>12000</v>
      </c>
      <c r="K60" s="34"/>
    </row>
    <row r="61" spans="1:11" s="8" customFormat="1" ht="30" x14ac:dyDescent="0.25">
      <c r="A61" s="10"/>
      <c r="B61" s="10" t="s">
        <v>172</v>
      </c>
      <c r="C61" s="43" t="s">
        <v>173</v>
      </c>
      <c r="E61" s="9" t="s">
        <v>174</v>
      </c>
      <c r="F61" s="44">
        <v>300000</v>
      </c>
      <c r="G61" s="44"/>
      <c r="H61" s="63">
        <f>+F61+G61</f>
        <v>300000</v>
      </c>
      <c r="I61" s="44"/>
      <c r="J61" s="45"/>
      <c r="K61" s="34"/>
    </row>
    <row r="62" spans="1:11" s="8" customFormat="1" x14ac:dyDescent="0.25">
      <c r="A62" s="10"/>
      <c r="B62" s="10" t="s">
        <v>175</v>
      </c>
      <c r="C62" s="43" t="s">
        <v>182</v>
      </c>
      <c r="D62" s="8" t="s">
        <v>183</v>
      </c>
      <c r="E62" s="9" t="s">
        <v>184</v>
      </c>
      <c r="F62" s="44">
        <v>154368.62</v>
      </c>
      <c r="G62" s="44"/>
      <c r="H62" s="63">
        <f t="shared" ref="H62:H66" si="2">+F62+G62</f>
        <v>154368.62</v>
      </c>
      <c r="I62" s="44"/>
      <c r="J62" s="45"/>
      <c r="K62" s="34"/>
    </row>
    <row r="63" spans="1:11" s="8" customFormat="1" ht="30" x14ac:dyDescent="0.25">
      <c r="A63" s="10"/>
      <c r="B63" s="10" t="s">
        <v>176</v>
      </c>
      <c r="C63" s="43" t="s">
        <v>182</v>
      </c>
      <c r="D63" s="8" t="s">
        <v>183</v>
      </c>
      <c r="E63" s="9" t="s">
        <v>185</v>
      </c>
      <c r="F63" s="44">
        <v>136000.20000000001</v>
      </c>
      <c r="G63" s="44"/>
      <c r="H63" s="63">
        <f t="shared" si="2"/>
        <v>136000.20000000001</v>
      </c>
      <c r="I63" s="44"/>
      <c r="J63" s="45"/>
      <c r="K63" s="34"/>
    </row>
    <row r="64" spans="1:11" s="8" customFormat="1" ht="30" x14ac:dyDescent="0.25">
      <c r="A64" s="10"/>
      <c r="B64" s="10" t="s">
        <v>178</v>
      </c>
      <c r="C64" s="43" t="s">
        <v>182</v>
      </c>
      <c r="D64" s="8" t="s">
        <v>183</v>
      </c>
      <c r="E64" s="9" t="s">
        <v>188</v>
      </c>
      <c r="F64" s="44">
        <v>64000</v>
      </c>
      <c r="G64" s="44"/>
      <c r="H64" s="63">
        <f t="shared" si="2"/>
        <v>64000</v>
      </c>
      <c r="I64" s="44"/>
      <c r="J64" s="45"/>
      <c r="K64" s="34"/>
    </row>
    <row r="65" spans="1:12" s="8" customFormat="1" ht="30" x14ac:dyDescent="0.25">
      <c r="A65" s="10"/>
      <c r="B65" s="10" t="s">
        <v>180</v>
      </c>
      <c r="C65" s="43" t="s">
        <v>189</v>
      </c>
      <c r="D65" s="8" t="s">
        <v>191</v>
      </c>
      <c r="E65" s="9" t="s">
        <v>190</v>
      </c>
      <c r="F65" s="44">
        <v>10000</v>
      </c>
      <c r="G65" s="44"/>
      <c r="H65" s="63">
        <f t="shared" si="2"/>
        <v>10000</v>
      </c>
      <c r="I65" s="44"/>
      <c r="J65" s="45"/>
      <c r="K65" s="34"/>
    </row>
    <row r="66" spans="1:12" s="8" customFormat="1" ht="105" x14ac:dyDescent="0.25">
      <c r="A66" s="10"/>
      <c r="B66" s="10" t="s">
        <v>181</v>
      </c>
      <c r="C66" s="43" t="s">
        <v>193</v>
      </c>
      <c r="D66" s="8" t="s">
        <v>192</v>
      </c>
      <c r="E66" s="9" t="s">
        <v>194</v>
      </c>
      <c r="F66" s="44">
        <v>403000</v>
      </c>
      <c r="G66" s="44"/>
      <c r="H66" s="63">
        <f t="shared" si="2"/>
        <v>403000</v>
      </c>
      <c r="I66" s="44"/>
      <c r="J66" s="45"/>
      <c r="K66" s="34"/>
    </row>
    <row r="67" spans="1:12" s="55" customFormat="1" x14ac:dyDescent="0.25">
      <c r="A67" s="54">
        <v>5</v>
      </c>
      <c r="B67" s="54"/>
      <c r="D67" s="55" t="s">
        <v>141</v>
      </c>
      <c r="E67" s="43" t="s">
        <v>41</v>
      </c>
      <c r="F67" s="56">
        <v>25000</v>
      </c>
      <c r="G67" s="56">
        <v>-25000</v>
      </c>
      <c r="H67" s="64">
        <f>+G67+F67</f>
        <v>0</v>
      </c>
      <c r="I67" s="57"/>
      <c r="J67" s="58">
        <f>+F67+G67</f>
        <v>0</v>
      </c>
      <c r="K67" s="59"/>
    </row>
    <row r="68" spans="1:12" s="8" customFormat="1" x14ac:dyDescent="0.25">
      <c r="A68" s="10"/>
      <c r="B68" s="10"/>
      <c r="E68" s="9"/>
      <c r="F68" s="12"/>
      <c r="G68" s="12"/>
      <c r="H68" s="63"/>
      <c r="I68" s="12"/>
      <c r="K68" s="34"/>
    </row>
    <row r="69" spans="1:12" s="19" customFormat="1" ht="15.75" thickBot="1" x14ac:dyDescent="0.3">
      <c r="A69" s="22"/>
      <c r="B69" s="22"/>
      <c r="C69" s="19" t="s">
        <v>48</v>
      </c>
      <c r="E69" s="20"/>
      <c r="F69" s="21">
        <f>SUM(F6:F68)</f>
        <v>23607598.240000002</v>
      </c>
      <c r="G69" s="21">
        <f>SUM(G6:G68)</f>
        <v>-3365748</v>
      </c>
      <c r="H69" s="65">
        <f>SUM(H6:H68)</f>
        <v>20241850.240000002</v>
      </c>
      <c r="I69" s="21">
        <f>SUM(I6:I68)</f>
        <v>-2293422.4</v>
      </c>
      <c r="J69" s="21">
        <f>SUM(J6:J68)</f>
        <v>15703571.02</v>
      </c>
      <c r="K69" s="36"/>
    </row>
    <row r="70" spans="1:12" s="4" customFormat="1" ht="15.75" thickTop="1" x14ac:dyDescent="0.25">
      <c r="A70" s="6"/>
      <c r="B70" s="6"/>
      <c r="E70" s="5"/>
      <c r="F70" s="7"/>
      <c r="G70" s="7"/>
      <c r="H70" s="53"/>
      <c r="I70" s="7"/>
      <c r="K70" s="35"/>
    </row>
    <row r="71" spans="1:12" s="4" customFormat="1" x14ac:dyDescent="0.25">
      <c r="A71" s="6"/>
      <c r="B71" s="6"/>
      <c r="C71" s="4" t="s">
        <v>69</v>
      </c>
      <c r="E71" s="5"/>
      <c r="F71" s="7"/>
      <c r="G71" s="7"/>
      <c r="H71" s="53"/>
      <c r="I71" s="7"/>
      <c r="J71" s="28">
        <v>5549970.5</v>
      </c>
      <c r="K71" s="35"/>
    </row>
    <row r="72" spans="1:12" s="4" customFormat="1" x14ac:dyDescent="0.25">
      <c r="A72" s="6"/>
      <c r="B72" s="6"/>
      <c r="C72" s="27" t="s">
        <v>97</v>
      </c>
      <c r="D72" s="27"/>
      <c r="E72" s="5"/>
      <c r="F72" s="7"/>
      <c r="G72" s="7"/>
      <c r="H72" s="53"/>
      <c r="I72" s="7"/>
      <c r="J72" s="28">
        <f>912.32+2218.12+1348.71+1387.72+1390.41+1393.09+1394.25+1563.94+1706.47</f>
        <v>13315.029999999999</v>
      </c>
      <c r="K72" s="35"/>
    </row>
    <row r="73" spans="1:12" s="4" customFormat="1" x14ac:dyDescent="0.25">
      <c r="A73" s="6"/>
      <c r="B73" s="6"/>
      <c r="C73" s="27" t="s">
        <v>67</v>
      </c>
      <c r="D73" s="27"/>
      <c r="E73" s="5"/>
      <c r="F73" s="7"/>
      <c r="G73" s="7"/>
      <c r="H73" s="53"/>
      <c r="I73" s="7"/>
      <c r="J73" s="28">
        <f>-I69</f>
        <v>2293422.4</v>
      </c>
      <c r="K73" s="35"/>
    </row>
    <row r="74" spans="1:12" s="38" customFormat="1" ht="27" customHeight="1" x14ac:dyDescent="0.25">
      <c r="A74" s="37"/>
      <c r="B74" s="37"/>
      <c r="C74" s="38" t="s">
        <v>68</v>
      </c>
      <c r="E74" s="39"/>
      <c r="F74" s="40"/>
      <c r="G74" s="40"/>
      <c r="H74" s="40"/>
      <c r="I74" s="40"/>
      <c r="J74" s="41">
        <f>+J71-J73+J72</f>
        <v>3269863.13</v>
      </c>
      <c r="K74" s="42"/>
      <c r="L74" s="71">
        <f>3269863.13-J74</f>
        <v>0</v>
      </c>
    </row>
    <row r="75" spans="1:12" s="4" customFormat="1" x14ac:dyDescent="0.25">
      <c r="A75" s="6"/>
      <c r="B75" s="6"/>
      <c r="C75" s="27" t="s">
        <v>70</v>
      </c>
      <c r="D75" s="27"/>
      <c r="E75" s="5"/>
      <c r="F75" s="7"/>
      <c r="G75" s="7"/>
      <c r="H75" s="53"/>
      <c r="I75" s="7"/>
      <c r="J75" s="29">
        <f>+J71</f>
        <v>5549970.5</v>
      </c>
      <c r="K75" s="35"/>
    </row>
    <row r="76" spans="1:12" s="4" customFormat="1" ht="15.75" thickBot="1" x14ac:dyDescent="0.3">
      <c r="A76" s="6"/>
      <c r="B76" s="6"/>
      <c r="C76" s="4" t="s">
        <v>71</v>
      </c>
      <c r="E76" s="5"/>
      <c r="F76" s="7"/>
      <c r="G76" s="7"/>
      <c r="H76" s="53"/>
      <c r="I76" s="7"/>
      <c r="J76" s="30">
        <f>+J75+J74</f>
        <v>8819833.629999999</v>
      </c>
      <c r="K76" s="35"/>
    </row>
    <row r="77" spans="1:12" s="4" customFormat="1" ht="15.75" thickTop="1" x14ac:dyDescent="0.25">
      <c r="A77" s="6"/>
      <c r="B77" s="6"/>
      <c r="E77" s="5"/>
      <c r="F77" s="7"/>
      <c r="G77" s="7"/>
      <c r="H77" s="53"/>
      <c r="I77" s="7"/>
      <c r="K77" s="35"/>
    </row>
    <row r="78" spans="1:12" s="4" customFormat="1" x14ac:dyDescent="0.25">
      <c r="A78" s="6" t="s">
        <v>53</v>
      </c>
      <c r="B78" s="6"/>
      <c r="E78" s="5"/>
      <c r="F78" s="7"/>
      <c r="G78" s="7"/>
      <c r="H78" s="53"/>
      <c r="I78" s="7"/>
      <c r="K78" s="35"/>
    </row>
    <row r="79" spans="1:12" s="4" customFormat="1" x14ac:dyDescent="0.25">
      <c r="A79" s="6">
        <v>1</v>
      </c>
      <c r="B79" s="6"/>
      <c r="C79" s="4" t="s">
        <v>54</v>
      </c>
      <c r="E79" s="5"/>
      <c r="F79" s="7"/>
      <c r="G79" s="7"/>
      <c r="H79" s="53"/>
      <c r="I79" s="7"/>
      <c r="K79" s="35"/>
    </row>
    <row r="80" spans="1:12" s="4" customFormat="1" x14ac:dyDescent="0.25">
      <c r="A80" s="6">
        <v>2</v>
      </c>
      <c r="B80" s="6"/>
      <c r="C80" s="4" t="s">
        <v>55</v>
      </c>
      <c r="E80" s="5"/>
      <c r="F80" s="7"/>
      <c r="G80" s="7"/>
      <c r="H80" s="53"/>
      <c r="I80" s="7"/>
      <c r="K80" s="35"/>
    </row>
    <row r="81" spans="1:11" s="4" customFormat="1" x14ac:dyDescent="0.25">
      <c r="A81" s="6">
        <v>3</v>
      </c>
      <c r="B81" s="6"/>
      <c r="C81" s="4" t="s">
        <v>57</v>
      </c>
      <c r="E81" s="5"/>
      <c r="F81" s="7"/>
      <c r="G81" s="7"/>
      <c r="H81" s="53"/>
      <c r="I81" s="7"/>
      <c r="K81" s="35"/>
    </row>
    <row r="82" spans="1:11" s="4" customFormat="1" x14ac:dyDescent="0.25">
      <c r="A82" s="6">
        <v>4</v>
      </c>
      <c r="B82" s="6"/>
      <c r="C82" s="4" t="s">
        <v>56</v>
      </c>
      <c r="E82" s="5"/>
      <c r="F82" s="7"/>
      <c r="G82" s="7"/>
      <c r="H82" s="53"/>
      <c r="I82" s="7"/>
      <c r="K82" s="35"/>
    </row>
    <row r="83" spans="1:11" s="4" customFormat="1" x14ac:dyDescent="0.25">
      <c r="A83" s="6">
        <v>5</v>
      </c>
      <c r="B83" s="6"/>
      <c r="C83" s="4" t="s">
        <v>58</v>
      </c>
      <c r="E83" s="5"/>
      <c r="F83" s="7"/>
      <c r="G83" s="7"/>
      <c r="H83" s="53"/>
      <c r="I83" s="7"/>
      <c r="K83" s="35"/>
    </row>
    <row r="84" spans="1:11" s="4" customFormat="1" x14ac:dyDescent="0.25">
      <c r="A84" s="6">
        <v>6</v>
      </c>
      <c r="B84" s="6"/>
      <c r="C84" s="4" t="s">
        <v>79</v>
      </c>
      <c r="E84" s="5"/>
      <c r="F84" s="7"/>
      <c r="G84" s="7"/>
      <c r="H84" s="53"/>
      <c r="I84" s="7"/>
      <c r="K84" s="35"/>
    </row>
    <row r="85" spans="1:11" s="4" customFormat="1" x14ac:dyDescent="0.25">
      <c r="A85" s="6"/>
      <c r="B85" s="6"/>
      <c r="E85" s="5"/>
      <c r="F85" s="7"/>
      <c r="G85" s="7"/>
      <c r="H85" s="53"/>
      <c r="I85" s="7"/>
      <c r="K85" s="35"/>
    </row>
    <row r="86" spans="1:11" s="14" customFormat="1" x14ac:dyDescent="0.25">
      <c r="A86" s="16">
        <v>1</v>
      </c>
      <c r="B86" s="16"/>
      <c r="C86" s="17"/>
      <c r="D86" s="17"/>
      <c r="E86" s="25" t="s">
        <v>65</v>
      </c>
      <c r="F86" s="26">
        <v>3500000</v>
      </c>
      <c r="G86" s="26"/>
      <c r="H86" s="62"/>
      <c r="I86" s="26"/>
      <c r="J86" s="15"/>
      <c r="K86" s="33"/>
    </row>
    <row r="87" spans="1:11" s="4" customFormat="1" x14ac:dyDescent="0.25">
      <c r="A87" s="6"/>
      <c r="B87" s="6"/>
      <c r="E87" s="5"/>
      <c r="F87" s="7"/>
      <c r="G87" s="7"/>
      <c r="H87" s="53"/>
      <c r="I87" s="7"/>
      <c r="K87" s="35"/>
    </row>
    <row r="88" spans="1:11" s="4" customFormat="1" x14ac:dyDescent="0.25">
      <c r="A88" s="6"/>
      <c r="B88" s="6"/>
      <c r="E88" s="5"/>
      <c r="F88" s="7"/>
      <c r="G88" s="7"/>
      <c r="H88" s="53"/>
      <c r="I88" s="7"/>
      <c r="K88" s="35"/>
    </row>
    <row r="89" spans="1:11" s="4" customFormat="1" x14ac:dyDescent="0.25">
      <c r="A89" s="6"/>
      <c r="B89" s="6"/>
      <c r="C89" s="4" t="s">
        <v>94</v>
      </c>
      <c r="E89" s="5"/>
      <c r="F89" s="7"/>
      <c r="G89" s="7"/>
      <c r="H89" s="53"/>
      <c r="I89" s="7"/>
      <c r="K89" s="35"/>
    </row>
    <row r="90" spans="1:11" s="4" customFormat="1" x14ac:dyDescent="0.25">
      <c r="A90" s="6"/>
      <c r="B90" s="6"/>
      <c r="C90" s="4" t="s">
        <v>96</v>
      </c>
      <c r="E90" s="5"/>
      <c r="H90" s="66"/>
      <c r="K90" s="35"/>
    </row>
    <row r="91" spans="1:11" s="4" customFormat="1" x14ac:dyDescent="0.25">
      <c r="A91" s="6"/>
      <c r="B91" s="6"/>
      <c r="C91" s="4" t="s">
        <v>95</v>
      </c>
      <c r="E91" s="5"/>
      <c r="H91" s="66"/>
      <c r="K91" s="35"/>
    </row>
    <row r="92" spans="1:11" s="4" customFormat="1" x14ac:dyDescent="0.25">
      <c r="A92" s="6"/>
      <c r="B92" s="6"/>
      <c r="E92" s="5"/>
      <c r="H92" s="66"/>
      <c r="K92" s="35"/>
    </row>
    <row r="93" spans="1:11" s="4" customFormat="1" x14ac:dyDescent="0.25">
      <c r="A93" s="6"/>
      <c r="B93" s="6"/>
      <c r="E93" s="5"/>
      <c r="H93" s="66"/>
      <c r="K93" s="35"/>
    </row>
    <row r="94" spans="1:11" s="4" customFormat="1" x14ac:dyDescent="0.25">
      <c r="A94" s="6"/>
      <c r="B94" s="6"/>
      <c r="E94" s="5"/>
      <c r="H94" s="66"/>
      <c r="K94" s="35"/>
    </row>
    <row r="95" spans="1:11" s="4" customFormat="1" x14ac:dyDescent="0.25">
      <c r="A95" s="6"/>
      <c r="B95" s="6"/>
      <c r="E95" s="5"/>
      <c r="H95" s="66"/>
      <c r="K95" s="35"/>
    </row>
    <row r="96" spans="1:11" s="4" customFormat="1" x14ac:dyDescent="0.25">
      <c r="A96" s="6"/>
      <c r="B96" s="6"/>
      <c r="E96" s="5"/>
      <c r="H96" s="66"/>
      <c r="K96" s="35"/>
    </row>
    <row r="97" spans="1:11" s="4" customFormat="1" x14ac:dyDescent="0.25">
      <c r="A97" s="6"/>
      <c r="B97" s="6"/>
      <c r="E97" s="5"/>
      <c r="H97" s="66"/>
      <c r="K97" s="35"/>
    </row>
    <row r="98" spans="1:11" s="4" customFormat="1" x14ac:dyDescent="0.25">
      <c r="A98" s="6"/>
      <c r="B98" s="6"/>
      <c r="E98" s="5"/>
      <c r="H98" s="66"/>
      <c r="K98" s="35"/>
    </row>
    <row r="99" spans="1:11" s="4" customFormat="1" x14ac:dyDescent="0.25">
      <c r="A99" s="6"/>
      <c r="B99" s="6"/>
      <c r="E99" s="5"/>
      <c r="H99" s="66"/>
      <c r="K99" s="35"/>
    </row>
    <row r="100" spans="1:11" s="4" customFormat="1" x14ac:dyDescent="0.25">
      <c r="A100" s="6"/>
      <c r="B100" s="6"/>
      <c r="E100" s="5"/>
      <c r="H100" s="66"/>
      <c r="K100" s="35"/>
    </row>
    <row r="101" spans="1:11" s="4" customFormat="1" x14ac:dyDescent="0.25">
      <c r="A101" s="6"/>
      <c r="B101" s="6"/>
      <c r="E101" s="5"/>
      <c r="H101" s="66"/>
      <c r="K101" s="35"/>
    </row>
    <row r="102" spans="1:11" s="4" customFormat="1" x14ac:dyDescent="0.25">
      <c r="A102" s="6"/>
      <c r="B102" s="6"/>
      <c r="E102" s="5"/>
      <c r="H102" s="66"/>
      <c r="K102" s="35"/>
    </row>
    <row r="103" spans="1:11" s="4" customFormat="1" x14ac:dyDescent="0.25">
      <c r="A103" s="6"/>
      <c r="B103" s="6"/>
      <c r="E103" s="5"/>
      <c r="H103" s="66"/>
      <c r="K103" s="35"/>
    </row>
    <row r="104" spans="1:11" s="4" customFormat="1" x14ac:dyDescent="0.25">
      <c r="A104" s="6"/>
      <c r="B104" s="6"/>
      <c r="E104" s="5"/>
      <c r="H104" s="66"/>
      <c r="K104" s="35"/>
    </row>
    <row r="105" spans="1:11" s="4" customFormat="1" x14ac:dyDescent="0.25">
      <c r="A105" s="6"/>
      <c r="B105" s="6"/>
      <c r="E105" s="5"/>
      <c r="H105" s="66"/>
      <c r="K105" s="35"/>
    </row>
    <row r="106" spans="1:11" s="4" customFormat="1" x14ac:dyDescent="0.25">
      <c r="A106" s="6"/>
      <c r="B106" s="6"/>
      <c r="E106" s="5"/>
      <c r="H106" s="66"/>
      <c r="K106" s="35"/>
    </row>
    <row r="107" spans="1:11" s="4" customFormat="1" x14ac:dyDescent="0.25">
      <c r="A107" s="6"/>
      <c r="B107" s="6"/>
      <c r="E107" s="5"/>
      <c r="H107" s="66"/>
      <c r="K107" s="35"/>
    </row>
    <row r="108" spans="1:11" s="4" customFormat="1" x14ac:dyDescent="0.25">
      <c r="A108" s="6"/>
      <c r="B108" s="6"/>
      <c r="E108" s="5"/>
      <c r="H108" s="66"/>
      <c r="K108" s="35"/>
    </row>
    <row r="109" spans="1:11" s="4" customFormat="1" x14ac:dyDescent="0.25">
      <c r="A109" s="6"/>
      <c r="B109" s="6"/>
      <c r="E109" s="5"/>
      <c r="H109" s="66"/>
      <c r="K109" s="35"/>
    </row>
    <row r="110" spans="1:11" s="4" customFormat="1" x14ac:dyDescent="0.25">
      <c r="A110" s="6"/>
      <c r="B110" s="6"/>
      <c r="E110" s="5"/>
      <c r="H110" s="66"/>
      <c r="K110" s="35"/>
    </row>
    <row r="111" spans="1:11" s="4" customFormat="1" x14ac:dyDescent="0.25">
      <c r="A111" s="6"/>
      <c r="B111" s="6"/>
      <c r="E111" s="5"/>
      <c r="H111" s="66"/>
      <c r="K111" s="35"/>
    </row>
    <row r="112" spans="1:11" s="4" customFormat="1" x14ac:dyDescent="0.25">
      <c r="A112" s="6"/>
      <c r="B112" s="6"/>
      <c r="E112" s="5"/>
      <c r="H112" s="66"/>
      <c r="K112" s="35"/>
    </row>
    <row r="113" spans="1:11" s="4" customFormat="1" x14ac:dyDescent="0.25">
      <c r="A113" s="6"/>
      <c r="B113" s="6"/>
      <c r="E113" s="5"/>
      <c r="H113" s="66"/>
      <c r="K113" s="35"/>
    </row>
    <row r="114" spans="1:11" s="4" customFormat="1" x14ac:dyDescent="0.25">
      <c r="A114" s="6"/>
      <c r="B114" s="6"/>
      <c r="E114" s="5"/>
      <c r="H114" s="66"/>
      <c r="K114" s="35"/>
    </row>
    <row r="115" spans="1:11" s="4" customFormat="1" x14ac:dyDescent="0.25">
      <c r="A115" s="6"/>
      <c r="B115" s="6"/>
      <c r="E115" s="5"/>
      <c r="H115" s="66"/>
      <c r="K115" s="35"/>
    </row>
    <row r="116" spans="1:11" s="4" customFormat="1" x14ac:dyDescent="0.25">
      <c r="A116" s="6"/>
      <c r="B116" s="6"/>
      <c r="E116" s="5"/>
      <c r="H116" s="66"/>
      <c r="K116" s="35"/>
    </row>
    <row r="117" spans="1:11" s="4" customFormat="1" x14ac:dyDescent="0.25">
      <c r="A117" s="6"/>
      <c r="B117" s="6"/>
      <c r="E117" s="5"/>
      <c r="H117" s="66"/>
      <c r="K117" s="35"/>
    </row>
    <row r="118" spans="1:11" s="4" customFormat="1" x14ac:dyDescent="0.25">
      <c r="A118" s="6"/>
      <c r="B118" s="6"/>
      <c r="E118" s="5"/>
      <c r="H118" s="66"/>
      <c r="K118" s="35"/>
    </row>
    <row r="119" spans="1:11" s="4" customFormat="1" x14ac:dyDescent="0.25">
      <c r="A119" s="6"/>
      <c r="B119" s="6"/>
      <c r="E119" s="5"/>
      <c r="H119" s="66"/>
      <c r="K119" s="35"/>
    </row>
    <row r="120" spans="1:11" s="4" customFormat="1" x14ac:dyDescent="0.25">
      <c r="A120" s="6"/>
      <c r="B120" s="6"/>
      <c r="E120" s="5"/>
      <c r="H120" s="66"/>
      <c r="K120" s="35"/>
    </row>
    <row r="121" spans="1:11" s="4" customFormat="1" x14ac:dyDescent="0.25">
      <c r="A121" s="6"/>
      <c r="B121" s="6"/>
      <c r="E121" s="5"/>
      <c r="H121" s="66"/>
      <c r="K121" s="35"/>
    </row>
    <row r="122" spans="1:11" s="4" customFormat="1" x14ac:dyDescent="0.25">
      <c r="A122" s="6"/>
      <c r="B122" s="6"/>
      <c r="E122" s="5"/>
      <c r="H122" s="66"/>
      <c r="K122" s="35"/>
    </row>
    <row r="123" spans="1:11" s="4" customFormat="1" x14ac:dyDescent="0.25">
      <c r="A123" s="6"/>
      <c r="B123" s="6"/>
      <c r="E123" s="5"/>
      <c r="H123" s="66"/>
      <c r="K123" s="35"/>
    </row>
    <row r="124" spans="1:11" s="4" customFormat="1" x14ac:dyDescent="0.25">
      <c r="A124" s="6"/>
      <c r="B124" s="6"/>
      <c r="E124" s="5"/>
      <c r="H124" s="66"/>
      <c r="K124" s="35"/>
    </row>
    <row r="125" spans="1:11" s="4" customFormat="1" x14ac:dyDescent="0.25">
      <c r="A125" s="6"/>
      <c r="B125" s="6"/>
      <c r="E125" s="5"/>
      <c r="H125" s="66"/>
      <c r="K125" s="35"/>
    </row>
    <row r="126" spans="1:11" s="4" customFormat="1" x14ac:dyDescent="0.25">
      <c r="A126" s="6"/>
      <c r="B126" s="6"/>
      <c r="E126" s="5"/>
      <c r="H126" s="66"/>
      <c r="K126" s="35"/>
    </row>
    <row r="127" spans="1:11" s="4" customFormat="1" x14ac:dyDescent="0.25">
      <c r="A127" s="6"/>
      <c r="B127" s="6"/>
      <c r="E127" s="5"/>
      <c r="H127" s="66"/>
      <c r="K127" s="35"/>
    </row>
    <row r="128" spans="1:11" s="4" customFormat="1" x14ac:dyDescent="0.25">
      <c r="A128" s="6"/>
      <c r="B128" s="6"/>
      <c r="E128" s="5"/>
      <c r="H128" s="66"/>
      <c r="K128" s="35"/>
    </row>
    <row r="129" spans="1:11" s="4" customFormat="1" x14ac:dyDescent="0.25">
      <c r="A129" s="6"/>
      <c r="B129" s="6"/>
      <c r="E129" s="5"/>
      <c r="H129" s="66"/>
      <c r="K129" s="35"/>
    </row>
    <row r="130" spans="1:11" s="4" customFormat="1" x14ac:dyDescent="0.25">
      <c r="A130" s="6"/>
      <c r="B130" s="6"/>
      <c r="E130" s="5"/>
      <c r="H130" s="66"/>
      <c r="K130" s="35"/>
    </row>
  </sheetData>
  <mergeCells count="1">
    <mergeCell ref="E1:K1"/>
  </mergeCells>
  <hyperlinks>
    <hyperlink ref="E1" r:id="rId1"/>
  </hyperlinks>
  <pageMargins left="0.25" right="0.25" top="0.75" bottom="0.75" header="0.3" footer="0.3"/>
  <pageSetup scale="66" fitToHeight="0" orientation="landscape" r:id="rId2"/>
  <headerFooter>
    <oddFooter>Page &amp;P of &amp;N</oddFooter>
  </headerFooter>
  <rowBreaks count="1" manualBreakCount="1">
    <brk id="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6" sqref="B16"/>
    </sheetView>
  </sheetViews>
  <sheetFormatPr defaultRowHeight="15" x14ac:dyDescent="0.25"/>
  <cols>
    <col min="1" max="1" width="28" customWidth="1"/>
    <col min="2" max="2" width="13" style="73" bestFit="1" customWidth="1"/>
  </cols>
  <sheetData>
    <row r="1" spans="1:2" x14ac:dyDescent="0.25">
      <c r="A1" t="s">
        <v>0</v>
      </c>
    </row>
    <row r="2" spans="1:2" x14ac:dyDescent="0.25">
      <c r="A2" t="s">
        <v>196</v>
      </c>
    </row>
    <row r="3" spans="1:2" x14ac:dyDescent="0.25">
      <c r="A3" t="s">
        <v>197</v>
      </c>
    </row>
    <row r="5" spans="1:2" x14ac:dyDescent="0.25">
      <c r="A5" t="s">
        <v>201</v>
      </c>
      <c r="B5" s="73">
        <v>4018466.52</v>
      </c>
    </row>
    <row r="6" spans="1:2" x14ac:dyDescent="0.25">
      <c r="A6" s="72" t="s">
        <v>198</v>
      </c>
      <c r="B6" s="73">
        <f>10184.59+1390+1390+1390+1390+1400</f>
        <v>17144.59</v>
      </c>
    </row>
    <row r="7" spans="1:2" x14ac:dyDescent="0.25">
      <c r="A7" s="72" t="s">
        <v>200</v>
      </c>
      <c r="B7" s="73">
        <v>5549970.5</v>
      </c>
    </row>
    <row r="8" spans="1:2" x14ac:dyDescent="0.25">
      <c r="A8" s="72" t="s">
        <v>199</v>
      </c>
      <c r="B8" s="73">
        <f>-758787.98-1000000</f>
        <v>-1758787.98</v>
      </c>
    </row>
    <row r="9" spans="1:2" ht="15.75" thickBot="1" x14ac:dyDescent="0.3">
      <c r="A9" t="s">
        <v>204</v>
      </c>
      <c r="B9" s="74">
        <f>SUM(B5:B8)</f>
        <v>7826793.629999999</v>
      </c>
    </row>
    <row r="10" spans="1:2" ht="15.75" thickTop="1" x14ac:dyDescent="0.25"/>
    <row r="11" spans="1:2" x14ac:dyDescent="0.25">
      <c r="A11" t="s">
        <v>203</v>
      </c>
      <c r="B11" s="73">
        <f>+B9</f>
        <v>7826793.629999999</v>
      </c>
    </row>
    <row r="12" spans="1:2" x14ac:dyDescent="0.25">
      <c r="A12" s="72" t="s">
        <v>198</v>
      </c>
      <c r="B12" s="73">
        <v>18000</v>
      </c>
    </row>
    <row r="13" spans="1:2" x14ac:dyDescent="0.25">
      <c r="A13" s="72" t="s">
        <v>200</v>
      </c>
      <c r="B13" s="73">
        <v>0</v>
      </c>
    </row>
    <row r="14" spans="1:2" x14ac:dyDescent="0.25">
      <c r="A14" s="72" t="s">
        <v>199</v>
      </c>
      <c r="B14" s="73">
        <v>-2000000</v>
      </c>
    </row>
    <row r="15" spans="1:2" ht="15.75" thickBot="1" x14ac:dyDescent="0.3">
      <c r="A15" t="s">
        <v>202</v>
      </c>
      <c r="B15" s="74">
        <f>SUM(B11:B14)</f>
        <v>5844793.629999999</v>
      </c>
    </row>
    <row r="16" spans="1:2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15"/>
  <sheetViews>
    <sheetView showGridLines="0" topLeftCell="A8" workbookViewId="0">
      <selection activeCell="C4" sqref="C4"/>
    </sheetView>
  </sheetViews>
  <sheetFormatPr defaultRowHeight="15" x14ac:dyDescent="0.25"/>
  <cols>
    <col min="1" max="1" width="7.5703125" style="1" bestFit="1" customWidth="1"/>
    <col min="2" max="2" width="35.85546875" bestFit="1" customWidth="1"/>
    <col min="3" max="3" width="41.7109375" style="5" customWidth="1"/>
    <col min="4" max="4" width="12.5703125" bestFit="1" customWidth="1"/>
    <col min="5" max="5" width="12.28515625" bestFit="1" customWidth="1"/>
    <col min="6" max="6" width="12.42578125" bestFit="1" customWidth="1"/>
    <col min="7" max="7" width="13.28515625" bestFit="1" customWidth="1"/>
    <col min="8" max="8" width="14.7109375" style="31" bestFit="1" customWidth="1"/>
    <col min="9" max="10" width="12.5703125" bestFit="1" customWidth="1"/>
  </cols>
  <sheetData>
    <row r="1" spans="1:12" ht="23.25" customHeight="1" x14ac:dyDescent="0.25">
      <c r="B1" t="s">
        <v>0</v>
      </c>
      <c r="C1" s="75" t="s">
        <v>101</v>
      </c>
      <c r="D1" s="75"/>
      <c r="E1" s="75"/>
      <c r="F1" s="75"/>
      <c r="G1" s="75"/>
      <c r="H1" s="75"/>
      <c r="I1" s="18">
        <f>SUM(D6:D101)/2</f>
        <v>25107688.420000002</v>
      </c>
      <c r="J1" s="18">
        <f>SUM(G6:G101)/2</f>
        <v>33009226.594999999</v>
      </c>
    </row>
    <row r="2" spans="1:12" x14ac:dyDescent="0.25">
      <c r="B2" t="s">
        <v>98</v>
      </c>
    </row>
    <row r="3" spans="1:12" x14ac:dyDescent="0.25">
      <c r="B3" t="s">
        <v>1</v>
      </c>
    </row>
    <row r="5" spans="1:12" s="2" customFormat="1" ht="17.25" x14ac:dyDescent="0.4">
      <c r="A5" s="3" t="s">
        <v>53</v>
      </c>
      <c r="B5" s="2" t="s">
        <v>3</v>
      </c>
      <c r="C5" s="2" t="s">
        <v>4</v>
      </c>
      <c r="D5" s="3" t="s">
        <v>5</v>
      </c>
      <c r="E5" s="3" t="s">
        <v>93</v>
      </c>
      <c r="F5" s="3" t="s">
        <v>89</v>
      </c>
      <c r="G5" s="3" t="s">
        <v>10</v>
      </c>
      <c r="H5" s="32" t="s">
        <v>51</v>
      </c>
    </row>
    <row r="6" spans="1:12" s="14" customFormat="1" x14ac:dyDescent="0.25">
      <c r="A6" s="16"/>
      <c r="B6" s="14" t="s">
        <v>27</v>
      </c>
      <c r="C6" s="23" t="s">
        <v>29</v>
      </c>
      <c r="D6" s="24">
        <v>75000</v>
      </c>
      <c r="E6" s="24">
        <f>-D6</f>
        <v>-75000</v>
      </c>
      <c r="F6" s="24">
        <v>0</v>
      </c>
      <c r="G6" s="15"/>
      <c r="H6" s="33" t="s">
        <v>52</v>
      </c>
    </row>
    <row r="7" spans="1:12" s="14" customFormat="1" x14ac:dyDescent="0.25">
      <c r="A7" s="16"/>
      <c r="B7" s="17" t="s">
        <v>28</v>
      </c>
      <c r="C7" s="25" t="s">
        <v>30</v>
      </c>
      <c r="D7" s="26">
        <v>195000</v>
      </c>
      <c r="E7" s="26">
        <f>-D7</f>
        <v>-195000</v>
      </c>
      <c r="F7" s="26">
        <v>0</v>
      </c>
      <c r="G7" s="15"/>
      <c r="H7" s="33" t="s">
        <v>52</v>
      </c>
      <c r="I7" s="14">
        <v>2021</v>
      </c>
      <c r="J7" s="14">
        <v>2022</v>
      </c>
      <c r="K7" s="14">
        <v>2023</v>
      </c>
      <c r="L7" s="14">
        <v>2024</v>
      </c>
    </row>
    <row r="8" spans="1:12" s="14" customFormat="1" x14ac:dyDescent="0.25">
      <c r="A8" s="16"/>
      <c r="B8" s="17"/>
      <c r="C8" s="25" t="s">
        <v>90</v>
      </c>
      <c r="D8" s="26">
        <v>1534634.42</v>
      </c>
      <c r="E8" s="26"/>
      <c r="F8" s="26">
        <f>-1534634.42</f>
        <v>-1534634.42</v>
      </c>
      <c r="G8" s="15"/>
      <c r="H8" s="33" t="s">
        <v>91</v>
      </c>
    </row>
    <row r="9" spans="1:12" s="14" customFormat="1" ht="30" x14ac:dyDescent="0.25">
      <c r="A9" s="16">
        <v>1</v>
      </c>
      <c r="B9" s="17"/>
      <c r="C9" s="25" t="s">
        <v>66</v>
      </c>
      <c r="D9" s="26">
        <f>SUM(I9:L9)</f>
        <v>2200000</v>
      </c>
      <c r="E9" s="26"/>
      <c r="F9" s="26"/>
      <c r="G9" s="15"/>
      <c r="H9" s="33"/>
      <c r="I9" s="14">
        <f>1500000*0.8</f>
        <v>1200000</v>
      </c>
      <c r="J9" s="14">
        <f>1500000*0.4</f>
        <v>600000</v>
      </c>
      <c r="K9" s="14">
        <f>1500000*0.2</f>
        <v>300000</v>
      </c>
      <c r="L9" s="14">
        <v>100000</v>
      </c>
    </row>
    <row r="10" spans="1:12" s="14" customFormat="1" ht="30" x14ac:dyDescent="0.25">
      <c r="A10" s="16">
        <v>1</v>
      </c>
      <c r="B10" s="17"/>
      <c r="C10" s="25" t="s">
        <v>72</v>
      </c>
      <c r="D10" s="26">
        <v>2000000</v>
      </c>
      <c r="E10" s="26"/>
      <c r="F10" s="26"/>
      <c r="G10" s="15"/>
      <c r="H10" s="33"/>
    </row>
    <row r="11" spans="1:12" s="14" customFormat="1" ht="30" x14ac:dyDescent="0.25">
      <c r="A11" s="16">
        <v>1</v>
      </c>
      <c r="C11" s="25" t="s">
        <v>31</v>
      </c>
      <c r="D11" s="26">
        <v>625000</v>
      </c>
      <c r="E11" s="26">
        <v>235000</v>
      </c>
      <c r="F11" s="26">
        <f>-95893.85-451261.73-29433.76</f>
        <v>-576589.34</v>
      </c>
      <c r="G11" s="15"/>
      <c r="H11" s="33" t="s">
        <v>91</v>
      </c>
    </row>
    <row r="12" spans="1:12" s="14" customFormat="1" ht="30" x14ac:dyDescent="0.25">
      <c r="A12" s="16">
        <v>1</v>
      </c>
      <c r="C12" s="25" t="s">
        <v>32</v>
      </c>
      <c r="D12" s="26">
        <v>180000</v>
      </c>
      <c r="E12" s="26"/>
      <c r="F12" s="26">
        <f>-(28236+130516.5+7298.64)</f>
        <v>-166051.14000000001</v>
      </c>
      <c r="G12" s="15"/>
      <c r="H12" s="33" t="s">
        <v>91</v>
      </c>
    </row>
    <row r="13" spans="1:12" s="8" customFormat="1" ht="45" x14ac:dyDescent="0.25">
      <c r="A13" s="10">
        <v>1</v>
      </c>
      <c r="C13" s="9" t="s">
        <v>33</v>
      </c>
      <c r="D13" s="12">
        <v>380000</v>
      </c>
      <c r="E13" s="12"/>
      <c r="F13" s="12"/>
      <c r="G13" s="11">
        <f>SUM(D6:D13)+SUM(E6:E13)+SUM(F6:F13)</f>
        <v>4877359.5199999996</v>
      </c>
      <c r="H13" s="34"/>
    </row>
    <row r="14" spans="1:12" s="8" customFormat="1" ht="30" x14ac:dyDescent="0.25">
      <c r="A14" s="10">
        <v>1</v>
      </c>
      <c r="B14" s="9" t="s">
        <v>49</v>
      </c>
      <c r="C14" s="9" t="s">
        <v>50</v>
      </c>
      <c r="D14" s="12">
        <v>750000</v>
      </c>
      <c r="E14" s="12"/>
      <c r="F14" s="12"/>
      <c r="G14" s="13">
        <f>+D14+E14</f>
        <v>750000</v>
      </c>
      <c r="H14" s="34"/>
    </row>
    <row r="15" spans="1:12" s="4" customFormat="1" ht="30" x14ac:dyDescent="0.25">
      <c r="A15" s="6">
        <v>1</v>
      </c>
      <c r="B15" s="4" t="s">
        <v>18</v>
      </c>
      <c r="C15" s="25" t="s">
        <v>19</v>
      </c>
      <c r="D15" s="26">
        <v>100000</v>
      </c>
      <c r="E15" s="26"/>
      <c r="F15" s="26"/>
      <c r="H15" s="35"/>
    </row>
    <row r="16" spans="1:12" s="8" customFormat="1" x14ac:dyDescent="0.25">
      <c r="A16" s="10">
        <v>1</v>
      </c>
      <c r="C16" s="9" t="s">
        <v>20</v>
      </c>
      <c r="D16" s="12">
        <v>15000</v>
      </c>
      <c r="E16" s="12"/>
      <c r="F16" s="12"/>
      <c r="G16" s="13">
        <f>SUM(D15:D16)+E15+E16</f>
        <v>115000</v>
      </c>
      <c r="H16" s="34"/>
    </row>
    <row r="17" spans="1:9" s="4" customFormat="1" ht="30" x14ac:dyDescent="0.25">
      <c r="A17" s="6">
        <v>1</v>
      </c>
      <c r="B17" s="4" t="s">
        <v>25</v>
      </c>
      <c r="C17" s="25" t="s">
        <v>23</v>
      </c>
      <c r="D17" s="26">
        <v>50000</v>
      </c>
      <c r="E17" s="26"/>
      <c r="F17" s="26"/>
      <c r="H17" s="35"/>
    </row>
    <row r="18" spans="1:9" s="8" customFormat="1" x14ac:dyDescent="0.25">
      <c r="A18" s="10">
        <v>1</v>
      </c>
      <c r="C18" s="9" t="s">
        <v>24</v>
      </c>
      <c r="D18" s="12">
        <v>75000</v>
      </c>
      <c r="E18" s="12"/>
      <c r="F18" s="12"/>
      <c r="G18" s="13">
        <f>SUM(D17:D18)+E17+E18</f>
        <v>125000</v>
      </c>
      <c r="H18" s="34"/>
    </row>
    <row r="19" spans="1:9" s="4" customFormat="1" x14ac:dyDescent="0.25">
      <c r="A19" s="6">
        <v>1</v>
      </c>
      <c r="B19" s="4" t="s">
        <v>26</v>
      </c>
      <c r="C19" s="25" t="s">
        <v>34</v>
      </c>
      <c r="D19" s="26">
        <f>ROUND((7500*26)*1.2065,-3)</f>
        <v>235000</v>
      </c>
      <c r="E19" s="26">
        <v>-235000</v>
      </c>
      <c r="F19" s="26"/>
      <c r="H19" s="35" t="s">
        <v>92</v>
      </c>
    </row>
    <row r="20" spans="1:9" s="4" customFormat="1" ht="30" x14ac:dyDescent="0.25">
      <c r="A20" s="6">
        <v>6</v>
      </c>
      <c r="C20" s="25" t="s">
        <v>85</v>
      </c>
      <c r="D20" s="26">
        <v>165000</v>
      </c>
      <c r="E20" s="26"/>
      <c r="F20" s="26"/>
      <c r="H20" s="35"/>
      <c r="I20" s="4" t="s">
        <v>84</v>
      </c>
    </row>
    <row r="21" spans="1:9" s="8" customFormat="1" x14ac:dyDescent="0.25">
      <c r="A21" s="10">
        <v>1</v>
      </c>
      <c r="C21" s="9" t="s">
        <v>35</v>
      </c>
      <c r="D21" s="12">
        <v>50000</v>
      </c>
      <c r="E21" s="12"/>
      <c r="F21" s="12"/>
      <c r="G21" s="13">
        <f>SUM(D19:D21)+E20+E21+E19</f>
        <v>215000</v>
      </c>
      <c r="H21" s="34"/>
    </row>
    <row r="22" spans="1:9" s="4" customFormat="1" ht="30" x14ac:dyDescent="0.25">
      <c r="A22" s="6">
        <v>2</v>
      </c>
      <c r="B22" s="4" t="s">
        <v>7</v>
      </c>
      <c r="C22" s="25" t="s">
        <v>8</v>
      </c>
      <c r="D22" s="26">
        <v>255000</v>
      </c>
      <c r="E22" s="26"/>
      <c r="F22" s="26"/>
      <c r="G22" s="7"/>
      <c r="H22" s="35"/>
    </row>
    <row r="23" spans="1:9" s="4" customFormat="1" x14ac:dyDescent="0.25">
      <c r="A23" s="6">
        <v>1</v>
      </c>
      <c r="C23" s="25" t="s">
        <v>11</v>
      </c>
      <c r="D23" s="26">
        <v>100000</v>
      </c>
      <c r="E23" s="26"/>
      <c r="F23" s="26"/>
      <c r="H23" s="35"/>
    </row>
    <row r="24" spans="1:9" s="8" customFormat="1" x14ac:dyDescent="0.25">
      <c r="A24" s="10">
        <v>2</v>
      </c>
      <c r="C24" s="9" t="s">
        <v>9</v>
      </c>
      <c r="D24" s="12">
        <v>95000</v>
      </c>
      <c r="E24" s="12"/>
      <c r="F24" s="12"/>
      <c r="G24" s="13">
        <f>SUM(D22:D24)+E23+E24+E22</f>
        <v>450000</v>
      </c>
      <c r="H24" s="34"/>
    </row>
    <row r="25" spans="1:9" s="4" customFormat="1" x14ac:dyDescent="0.25">
      <c r="A25" s="6">
        <v>5</v>
      </c>
      <c r="B25" s="4" t="s">
        <v>12</v>
      </c>
      <c r="C25" s="25" t="s">
        <v>13</v>
      </c>
      <c r="D25" s="26">
        <v>1000000</v>
      </c>
      <c r="E25" s="26"/>
      <c r="F25" s="26"/>
      <c r="H25" s="35"/>
    </row>
    <row r="26" spans="1:9" s="4" customFormat="1" x14ac:dyDescent="0.25">
      <c r="A26" s="6">
        <v>2</v>
      </c>
      <c r="C26" s="25" t="s">
        <v>17</v>
      </c>
      <c r="D26" s="26">
        <v>100000</v>
      </c>
      <c r="E26" s="26"/>
      <c r="F26" s="26"/>
      <c r="H26" s="35"/>
    </row>
    <row r="27" spans="1:9" s="4" customFormat="1" x14ac:dyDescent="0.25">
      <c r="A27" s="6">
        <v>2</v>
      </c>
      <c r="C27" s="25" t="s">
        <v>14</v>
      </c>
      <c r="D27" s="26">
        <v>517077</v>
      </c>
      <c r="E27" s="26">
        <v>-517077</v>
      </c>
      <c r="F27" s="26"/>
      <c r="H27" s="35" t="s">
        <v>100</v>
      </c>
    </row>
    <row r="28" spans="1:9" s="8" customFormat="1" x14ac:dyDescent="0.25">
      <c r="A28" s="10">
        <v>2</v>
      </c>
      <c r="C28" s="9" t="s">
        <v>15</v>
      </c>
      <c r="D28" s="12">
        <v>88552</v>
      </c>
      <c r="E28" s="12"/>
      <c r="F28" s="12"/>
      <c r="G28" s="13">
        <f>SUM(D25:D28)+SUM(E25:E28)</f>
        <v>1188552</v>
      </c>
      <c r="H28" s="34"/>
    </row>
    <row r="29" spans="1:9" s="8" customFormat="1" x14ac:dyDescent="0.25">
      <c r="A29" s="10">
        <v>3</v>
      </c>
      <c r="B29" s="8" t="s">
        <v>87</v>
      </c>
      <c r="C29" s="9" t="s">
        <v>88</v>
      </c>
      <c r="D29" s="12">
        <v>150000</v>
      </c>
      <c r="E29" s="12"/>
      <c r="F29" s="12"/>
      <c r="G29" s="13">
        <f>+D29+E29</f>
        <v>150000</v>
      </c>
      <c r="H29" s="34"/>
    </row>
    <row r="30" spans="1:9" s="4" customFormat="1" x14ac:dyDescent="0.25">
      <c r="A30" s="6">
        <v>4</v>
      </c>
      <c r="B30" s="4" t="s">
        <v>36</v>
      </c>
      <c r="C30" s="25" t="s">
        <v>37</v>
      </c>
      <c r="D30" s="26">
        <f>15000+6000</f>
        <v>21000</v>
      </c>
      <c r="E30" s="26"/>
      <c r="F30" s="26"/>
      <c r="H30" s="35"/>
    </row>
    <row r="31" spans="1:9" s="8" customFormat="1" x14ac:dyDescent="0.25">
      <c r="A31" s="10">
        <v>4</v>
      </c>
      <c r="C31" s="9" t="s">
        <v>38</v>
      </c>
      <c r="D31" s="12">
        <v>9000</v>
      </c>
      <c r="E31" s="12"/>
      <c r="F31" s="12"/>
      <c r="G31" s="13">
        <f>SUM(D30:D31)+E30+E31</f>
        <v>30000</v>
      </c>
      <c r="H31" s="34"/>
    </row>
    <row r="32" spans="1:9" s="8" customFormat="1" ht="30" x14ac:dyDescent="0.25">
      <c r="A32" s="10">
        <v>4</v>
      </c>
      <c r="B32" s="9" t="s">
        <v>47</v>
      </c>
      <c r="C32" s="9" t="s">
        <v>46</v>
      </c>
      <c r="D32" s="12">
        <v>20000</v>
      </c>
      <c r="E32" s="12"/>
      <c r="F32" s="12"/>
      <c r="G32" s="13">
        <f>SUM(D32)+E32</f>
        <v>20000</v>
      </c>
      <c r="H32" s="34"/>
    </row>
    <row r="33" spans="1:12" s="8" customFormat="1" x14ac:dyDescent="0.25">
      <c r="A33" s="10">
        <v>4</v>
      </c>
      <c r="B33" s="8" t="s">
        <v>63</v>
      </c>
      <c r="C33" s="9" t="s">
        <v>64</v>
      </c>
      <c r="D33" s="12">
        <v>10000</v>
      </c>
      <c r="E33" s="12"/>
      <c r="F33" s="12"/>
      <c r="G33" s="13">
        <f>+D33+E33</f>
        <v>10000</v>
      </c>
      <c r="H33" s="34"/>
    </row>
    <row r="34" spans="1:12" s="8" customFormat="1" x14ac:dyDescent="0.25">
      <c r="A34" s="10">
        <v>4</v>
      </c>
      <c r="B34" s="8" t="s">
        <v>82</v>
      </c>
      <c r="C34" s="9" t="s">
        <v>83</v>
      </c>
      <c r="D34" s="12">
        <v>10000</v>
      </c>
      <c r="E34" s="12"/>
      <c r="F34" s="12"/>
      <c r="G34" s="13">
        <f>+D34+E34</f>
        <v>10000</v>
      </c>
      <c r="H34" s="34"/>
    </row>
    <row r="35" spans="1:12" s="4" customFormat="1" x14ac:dyDescent="0.25">
      <c r="A35" s="6">
        <v>5</v>
      </c>
      <c r="B35" s="4" t="s">
        <v>42</v>
      </c>
      <c r="C35" s="25" t="s">
        <v>59</v>
      </c>
      <c r="D35" s="26">
        <v>912805</v>
      </c>
      <c r="E35" s="26"/>
      <c r="F35" s="26"/>
      <c r="H35" s="35"/>
    </row>
    <row r="36" spans="1:12" s="8" customFormat="1" x14ac:dyDescent="0.25">
      <c r="A36" s="10">
        <v>4</v>
      </c>
      <c r="C36" s="9" t="s">
        <v>43</v>
      </c>
      <c r="D36" s="12">
        <v>30500</v>
      </c>
      <c r="E36" s="12"/>
      <c r="F36" s="12"/>
      <c r="G36" s="13">
        <f>SUM(D35:D36)+E35+E36</f>
        <v>943305</v>
      </c>
      <c r="H36" s="34"/>
    </row>
    <row r="37" spans="1:12" s="4" customFormat="1" x14ac:dyDescent="0.25">
      <c r="A37" s="6">
        <v>4</v>
      </c>
      <c r="B37" s="4" t="s">
        <v>60</v>
      </c>
      <c r="C37" s="25" t="s">
        <v>61</v>
      </c>
      <c r="D37" s="26">
        <f>42000+44000</f>
        <v>86000</v>
      </c>
      <c r="E37" s="26"/>
      <c r="F37" s="26"/>
      <c r="H37" s="35"/>
    </row>
    <row r="38" spans="1:12" s="8" customFormat="1" x14ac:dyDescent="0.25">
      <c r="A38" s="10">
        <v>4</v>
      </c>
      <c r="C38" s="9" t="s">
        <v>62</v>
      </c>
      <c r="D38" s="12">
        <v>18000</v>
      </c>
      <c r="E38" s="12"/>
      <c r="F38" s="12"/>
      <c r="G38" s="13">
        <f>SUM(D37:D38)+E37+E38</f>
        <v>104000</v>
      </c>
      <c r="H38" s="34"/>
    </row>
    <row r="39" spans="1:12" s="8" customFormat="1" x14ac:dyDescent="0.25">
      <c r="A39" s="10">
        <v>4</v>
      </c>
      <c r="B39" s="8" t="s">
        <v>16</v>
      </c>
      <c r="C39" s="9" t="s">
        <v>44</v>
      </c>
      <c r="D39" s="12">
        <v>60000</v>
      </c>
      <c r="E39" s="12"/>
      <c r="F39" s="12"/>
      <c r="G39" s="13">
        <f>+D39+E39</f>
        <v>60000</v>
      </c>
      <c r="H39" s="34"/>
      <c r="K39" s="8">
        <f>126-33-1+4</f>
        <v>96</v>
      </c>
      <c r="L39" s="8">
        <f>K39*3000*1.1765</f>
        <v>338832.00000000006</v>
      </c>
    </row>
    <row r="40" spans="1:12" s="4" customFormat="1" ht="30" x14ac:dyDescent="0.25">
      <c r="A40" s="6">
        <v>4</v>
      </c>
      <c r="B40" s="5" t="s">
        <v>86</v>
      </c>
      <c r="C40" s="25" t="s">
        <v>21</v>
      </c>
      <c r="D40" s="26">
        <v>65000</v>
      </c>
      <c r="E40" s="26"/>
      <c r="F40" s="26"/>
      <c r="H40" s="35"/>
      <c r="K40" s="4">
        <f>126-33-1+4</f>
        <v>96</v>
      </c>
      <c r="L40" s="4">
        <f>K40*3000*1.1765</f>
        <v>338832.00000000006</v>
      </c>
    </row>
    <row r="41" spans="1:12" s="8" customFormat="1" x14ac:dyDescent="0.25">
      <c r="A41" s="10">
        <v>4</v>
      </c>
      <c r="C41" s="9" t="s">
        <v>22</v>
      </c>
      <c r="D41" s="12">
        <v>150000</v>
      </c>
      <c r="E41" s="12"/>
      <c r="F41" s="12"/>
      <c r="G41" s="13">
        <f>SUM(D40:D41)+E41+E40</f>
        <v>215000</v>
      </c>
      <c r="H41" s="34"/>
      <c r="L41" s="8" t="e">
        <f>+#REF!+L40</f>
        <v>#REF!</v>
      </c>
    </row>
    <row r="42" spans="1:12" s="4" customFormat="1" ht="30" x14ac:dyDescent="0.25">
      <c r="A42" s="6">
        <v>5</v>
      </c>
      <c r="B42" s="4" t="s">
        <v>81</v>
      </c>
      <c r="C42" s="25" t="s">
        <v>73</v>
      </c>
      <c r="D42" s="26">
        <v>1300000</v>
      </c>
      <c r="E42" s="26"/>
      <c r="F42" s="26"/>
      <c r="H42" s="35"/>
    </row>
    <row r="43" spans="1:12" s="4" customFormat="1" ht="30" x14ac:dyDescent="0.25">
      <c r="A43" s="6">
        <v>5</v>
      </c>
      <c r="C43" s="25" t="s">
        <v>74</v>
      </c>
      <c r="D43" s="26">
        <v>2125000</v>
      </c>
      <c r="E43" s="26"/>
      <c r="F43" s="26"/>
      <c r="H43" s="35"/>
    </row>
    <row r="44" spans="1:12" s="4" customFormat="1" x14ac:dyDescent="0.25">
      <c r="A44" s="6">
        <v>6</v>
      </c>
      <c r="C44" s="25" t="s">
        <v>75</v>
      </c>
      <c r="D44" s="26">
        <v>1275000</v>
      </c>
      <c r="E44" s="26"/>
      <c r="F44" s="26"/>
      <c r="H44" s="35"/>
    </row>
    <row r="45" spans="1:12" s="4" customFormat="1" ht="30" x14ac:dyDescent="0.25">
      <c r="A45" s="6">
        <v>5</v>
      </c>
      <c r="C45" s="25" t="s">
        <v>76</v>
      </c>
      <c r="D45" s="26">
        <v>60000</v>
      </c>
      <c r="E45" s="26"/>
      <c r="F45" s="26"/>
      <c r="H45" s="35"/>
    </row>
    <row r="46" spans="1:12" s="4" customFormat="1" x14ac:dyDescent="0.25">
      <c r="A46" s="6">
        <v>5</v>
      </c>
      <c r="C46" s="25" t="s">
        <v>77</v>
      </c>
      <c r="D46" s="26">
        <v>116300</v>
      </c>
      <c r="E46" s="26"/>
      <c r="F46" s="26"/>
      <c r="H46" s="35"/>
    </row>
    <row r="47" spans="1:12" s="8" customFormat="1" x14ac:dyDescent="0.25">
      <c r="A47" s="10">
        <v>6</v>
      </c>
      <c r="C47" s="9" t="s">
        <v>78</v>
      </c>
      <c r="D47" s="12">
        <v>85000</v>
      </c>
      <c r="E47" s="12"/>
      <c r="F47" s="12"/>
      <c r="G47" s="13">
        <f>SUM(D42:D47)+SUM(E42:E47)</f>
        <v>4961300</v>
      </c>
      <c r="H47" s="34"/>
    </row>
    <row r="48" spans="1:12" s="8" customFormat="1" x14ac:dyDescent="0.25">
      <c r="A48" s="10">
        <v>5</v>
      </c>
      <c r="B48" s="8" t="s">
        <v>45</v>
      </c>
      <c r="C48" s="9" t="s">
        <v>80</v>
      </c>
      <c r="D48" s="12"/>
      <c r="E48" s="12"/>
      <c r="F48" s="12"/>
      <c r="G48" s="13">
        <f>+D48+E48</f>
        <v>0</v>
      </c>
      <c r="H48" s="34"/>
    </row>
    <row r="49" spans="1:8" s="8" customFormat="1" x14ac:dyDescent="0.25">
      <c r="A49" s="10">
        <v>5</v>
      </c>
      <c r="B49" s="8" t="s">
        <v>2</v>
      </c>
      <c r="C49" s="9" t="s">
        <v>6</v>
      </c>
      <c r="D49" s="12">
        <v>5563820</v>
      </c>
      <c r="E49" s="12"/>
      <c r="F49" s="12"/>
      <c r="G49" s="13">
        <f>+D49+E49</f>
        <v>5563820</v>
      </c>
      <c r="H49" s="34"/>
    </row>
    <row r="50" spans="1:8" s="4" customFormat="1" x14ac:dyDescent="0.25">
      <c r="A50" s="6">
        <v>5</v>
      </c>
      <c r="B50" s="4" t="s">
        <v>39</v>
      </c>
      <c r="C50" s="25" t="s">
        <v>40</v>
      </c>
      <c r="D50" s="26">
        <v>450000</v>
      </c>
      <c r="E50" s="26"/>
      <c r="F50" s="26"/>
      <c r="H50" s="35"/>
    </row>
    <row r="51" spans="1:8" s="4" customFormat="1" x14ac:dyDescent="0.25">
      <c r="A51" s="6">
        <v>5</v>
      </c>
      <c r="C51" s="25" t="s">
        <v>41</v>
      </c>
      <c r="D51" s="26">
        <v>25000</v>
      </c>
      <c r="E51" s="26"/>
      <c r="F51" s="26"/>
      <c r="H51" s="35"/>
    </row>
    <row r="52" spans="1:8" s="8" customFormat="1" x14ac:dyDescent="0.25">
      <c r="A52" s="10">
        <v>5</v>
      </c>
      <c r="C52" s="9" t="s">
        <v>99</v>
      </c>
      <c r="D52" s="12">
        <v>30000</v>
      </c>
      <c r="E52" s="12">
        <v>-30000</v>
      </c>
      <c r="F52" s="12"/>
      <c r="G52" s="13">
        <f>SUM(D50:D52)+E51+E52+E50</f>
        <v>475000</v>
      </c>
      <c r="H52" s="34"/>
    </row>
    <row r="53" spans="1:8" s="8" customFormat="1" x14ac:dyDescent="0.25">
      <c r="A53" s="10"/>
      <c r="C53" s="9"/>
      <c r="D53" s="12"/>
      <c r="E53" s="12"/>
      <c r="F53" s="12"/>
      <c r="H53" s="34"/>
    </row>
    <row r="54" spans="1:8" s="19" customFormat="1" ht="15.75" thickBot="1" x14ac:dyDescent="0.3">
      <c r="A54" s="22"/>
      <c r="B54" s="19" t="s">
        <v>48</v>
      </c>
      <c r="C54" s="20"/>
      <c r="D54" s="21">
        <f>SUM(D6:D53)</f>
        <v>23357688.420000002</v>
      </c>
      <c r="E54" s="21">
        <f>SUM(E6:E53)</f>
        <v>-817077</v>
      </c>
      <c r="F54" s="21">
        <f>SUM(F6:F53)</f>
        <v>-2277274.9</v>
      </c>
      <c r="G54" s="21">
        <f>SUM(G6:G53)</f>
        <v>20263336.52</v>
      </c>
      <c r="H54" s="36"/>
    </row>
    <row r="55" spans="1:8" s="4" customFormat="1" ht="15.75" thickTop="1" x14ac:dyDescent="0.25">
      <c r="A55" s="6"/>
      <c r="C55" s="5"/>
      <c r="D55" s="7"/>
      <c r="E55" s="7"/>
      <c r="F55" s="7"/>
      <c r="H55" s="35"/>
    </row>
    <row r="56" spans="1:8" s="4" customFormat="1" x14ac:dyDescent="0.25">
      <c r="A56" s="6"/>
      <c r="B56" s="4" t="s">
        <v>69</v>
      </c>
      <c r="C56" s="5"/>
      <c r="D56" s="7"/>
      <c r="E56" s="7"/>
      <c r="F56" s="7"/>
      <c r="G56" s="28">
        <v>5549970.5</v>
      </c>
      <c r="H56" s="35"/>
    </row>
    <row r="57" spans="1:8" s="4" customFormat="1" x14ac:dyDescent="0.25">
      <c r="A57" s="6"/>
      <c r="B57" s="27" t="s">
        <v>97</v>
      </c>
      <c r="C57" s="5"/>
      <c r="D57" s="7"/>
      <c r="E57" s="7"/>
      <c r="F57" s="7"/>
      <c r="G57" s="28">
        <f>912.32+2218.12+1706.47+1563.94</f>
        <v>6400.85</v>
      </c>
      <c r="H57" s="35"/>
    </row>
    <row r="58" spans="1:8" s="4" customFormat="1" x14ac:dyDescent="0.25">
      <c r="A58" s="6"/>
      <c r="B58" s="27" t="s">
        <v>67</v>
      </c>
      <c r="C58" s="5"/>
      <c r="D58" s="7"/>
      <c r="E58" s="7"/>
      <c r="F58" s="7"/>
      <c r="G58" s="28">
        <f>-F54</f>
        <v>2277274.9</v>
      </c>
      <c r="H58" s="35"/>
    </row>
    <row r="59" spans="1:8" s="38" customFormat="1" ht="27" customHeight="1" x14ac:dyDescent="0.25">
      <c r="A59" s="37"/>
      <c r="B59" s="38" t="s">
        <v>68</v>
      </c>
      <c r="C59" s="39"/>
      <c r="D59" s="40"/>
      <c r="E59" s="40"/>
      <c r="F59" s="40"/>
      <c r="G59" s="41">
        <f>+G56-G58+G57</f>
        <v>3279096.45</v>
      </c>
      <c r="H59" s="42"/>
    </row>
    <row r="60" spans="1:8" s="4" customFormat="1" x14ac:dyDescent="0.25">
      <c r="A60" s="6"/>
      <c r="B60" s="27" t="s">
        <v>70</v>
      </c>
      <c r="C60" s="5"/>
      <c r="D60" s="7"/>
      <c r="E60" s="7"/>
      <c r="F60" s="7"/>
      <c r="G60" s="29">
        <f>+G56</f>
        <v>5549970.5</v>
      </c>
      <c r="H60" s="35"/>
    </row>
    <row r="61" spans="1:8" s="4" customFormat="1" ht="15.75" thickBot="1" x14ac:dyDescent="0.3">
      <c r="A61" s="6"/>
      <c r="B61" s="4" t="s">
        <v>71</v>
      </c>
      <c r="C61" s="5"/>
      <c r="D61" s="7"/>
      <c r="E61" s="7"/>
      <c r="F61" s="7"/>
      <c r="G61" s="30">
        <f>+G60+G59</f>
        <v>8829066.9499999993</v>
      </c>
      <c r="H61" s="35"/>
    </row>
    <row r="62" spans="1:8" s="4" customFormat="1" ht="15.75" thickTop="1" x14ac:dyDescent="0.25">
      <c r="A62" s="6"/>
      <c r="C62" s="5"/>
      <c r="D62" s="7"/>
      <c r="E62" s="7"/>
      <c r="F62" s="7"/>
      <c r="H62" s="35"/>
    </row>
    <row r="63" spans="1:8" s="4" customFormat="1" x14ac:dyDescent="0.25">
      <c r="A63" s="6" t="s">
        <v>53</v>
      </c>
      <c r="C63" s="5"/>
      <c r="D63" s="7"/>
      <c r="E63" s="7"/>
      <c r="F63" s="7"/>
      <c r="H63" s="35"/>
    </row>
    <row r="64" spans="1:8" s="4" customFormat="1" x14ac:dyDescent="0.25">
      <c r="A64" s="6">
        <v>1</v>
      </c>
      <c r="B64" s="4" t="s">
        <v>54</v>
      </c>
      <c r="C64" s="5"/>
      <c r="D64" s="7"/>
      <c r="E64" s="7"/>
      <c r="F64" s="7"/>
      <c r="H64" s="35"/>
    </row>
    <row r="65" spans="1:8" s="4" customFormat="1" x14ac:dyDescent="0.25">
      <c r="A65" s="6">
        <v>2</v>
      </c>
      <c r="B65" s="4" t="s">
        <v>55</v>
      </c>
      <c r="C65" s="5"/>
      <c r="D65" s="7"/>
      <c r="E65" s="7"/>
      <c r="F65" s="7"/>
      <c r="H65" s="35"/>
    </row>
    <row r="66" spans="1:8" s="4" customFormat="1" x14ac:dyDescent="0.25">
      <c r="A66" s="6">
        <v>3</v>
      </c>
      <c r="B66" s="4" t="s">
        <v>57</v>
      </c>
      <c r="C66" s="5"/>
      <c r="D66" s="7"/>
      <c r="E66" s="7"/>
      <c r="F66" s="7"/>
      <c r="H66" s="35"/>
    </row>
    <row r="67" spans="1:8" s="4" customFormat="1" x14ac:dyDescent="0.25">
      <c r="A67" s="6">
        <v>4</v>
      </c>
      <c r="B67" s="4" t="s">
        <v>56</v>
      </c>
      <c r="C67" s="5"/>
      <c r="D67" s="7"/>
      <c r="E67" s="7"/>
      <c r="F67" s="7"/>
      <c r="H67" s="35"/>
    </row>
    <row r="68" spans="1:8" s="4" customFormat="1" x14ac:dyDescent="0.25">
      <c r="A68" s="6">
        <v>5</v>
      </c>
      <c r="B68" s="4" t="s">
        <v>58</v>
      </c>
      <c r="C68" s="5"/>
      <c r="D68" s="7"/>
      <c r="E68" s="7"/>
      <c r="F68" s="7"/>
      <c r="H68" s="35"/>
    </row>
    <row r="69" spans="1:8" s="4" customFormat="1" x14ac:dyDescent="0.25">
      <c r="A69" s="6">
        <v>6</v>
      </c>
      <c r="B69" s="4" t="s">
        <v>79</v>
      </c>
      <c r="C69" s="5"/>
      <c r="D69" s="7"/>
      <c r="E69" s="7"/>
      <c r="F69" s="7"/>
      <c r="H69" s="35"/>
    </row>
    <row r="70" spans="1:8" s="4" customFormat="1" x14ac:dyDescent="0.25">
      <c r="A70" s="6"/>
      <c r="C70" s="5"/>
      <c r="D70" s="7"/>
      <c r="E70" s="7"/>
      <c r="F70" s="7"/>
      <c r="H70" s="35"/>
    </row>
    <row r="71" spans="1:8" s="14" customFormat="1" x14ac:dyDescent="0.25">
      <c r="A71" s="16">
        <v>1</v>
      </c>
      <c r="B71" s="17"/>
      <c r="C71" s="25" t="s">
        <v>65</v>
      </c>
      <c r="D71" s="26">
        <v>3500000</v>
      </c>
      <c r="E71" s="26"/>
      <c r="F71" s="26"/>
      <c r="G71" s="15"/>
      <c r="H71" s="33"/>
    </row>
    <row r="72" spans="1:8" s="4" customFormat="1" x14ac:dyDescent="0.25">
      <c r="A72" s="6"/>
      <c r="C72" s="5"/>
      <c r="D72" s="7"/>
      <c r="E72" s="7"/>
      <c r="F72" s="7"/>
      <c r="H72" s="35"/>
    </row>
    <row r="73" spans="1:8" s="4" customFormat="1" x14ac:dyDescent="0.25">
      <c r="A73" s="6"/>
      <c r="C73" s="5"/>
      <c r="D73" s="7"/>
      <c r="E73" s="7"/>
      <c r="F73" s="7"/>
      <c r="H73" s="35"/>
    </row>
    <row r="74" spans="1:8" s="4" customFormat="1" x14ac:dyDescent="0.25">
      <c r="A74" s="6"/>
      <c r="B74" s="4" t="s">
        <v>94</v>
      </c>
      <c r="C74" s="5"/>
      <c r="D74" s="7"/>
      <c r="E74" s="7"/>
      <c r="F74" s="7"/>
      <c r="H74" s="35"/>
    </row>
    <row r="75" spans="1:8" s="4" customFormat="1" x14ac:dyDescent="0.25">
      <c r="A75" s="6"/>
      <c r="B75" s="4" t="s">
        <v>96</v>
      </c>
      <c r="C75" s="5"/>
      <c r="H75" s="35"/>
    </row>
    <row r="76" spans="1:8" s="4" customFormat="1" x14ac:dyDescent="0.25">
      <c r="A76" s="6"/>
      <c r="B76" s="4" t="s">
        <v>95</v>
      </c>
      <c r="C76" s="5"/>
      <c r="H76" s="35"/>
    </row>
    <row r="77" spans="1:8" s="4" customFormat="1" x14ac:dyDescent="0.25">
      <c r="A77" s="6"/>
      <c r="C77" s="5"/>
      <c r="H77" s="35"/>
    </row>
    <row r="78" spans="1:8" s="4" customFormat="1" x14ac:dyDescent="0.25">
      <c r="A78" s="6"/>
      <c r="C78" s="5"/>
      <c r="H78" s="35"/>
    </row>
    <row r="79" spans="1:8" s="4" customFormat="1" x14ac:dyDescent="0.25">
      <c r="A79" s="6"/>
      <c r="C79" s="5"/>
      <c r="H79" s="35"/>
    </row>
    <row r="80" spans="1:8" s="4" customFormat="1" x14ac:dyDescent="0.25">
      <c r="A80" s="6"/>
      <c r="C80" s="5"/>
      <c r="H80" s="35"/>
    </row>
    <row r="81" spans="1:8" s="4" customFormat="1" x14ac:dyDescent="0.25">
      <c r="A81" s="6"/>
      <c r="C81" s="5"/>
      <c r="H81" s="35"/>
    </row>
    <row r="82" spans="1:8" s="4" customFormat="1" x14ac:dyDescent="0.25">
      <c r="A82" s="6"/>
      <c r="C82" s="5"/>
      <c r="H82" s="35"/>
    </row>
    <row r="83" spans="1:8" s="4" customFormat="1" x14ac:dyDescent="0.25">
      <c r="A83" s="6"/>
      <c r="C83" s="5"/>
      <c r="H83" s="35"/>
    </row>
    <row r="84" spans="1:8" s="4" customFormat="1" x14ac:dyDescent="0.25">
      <c r="A84" s="6"/>
      <c r="C84" s="5"/>
      <c r="H84" s="35"/>
    </row>
    <row r="85" spans="1:8" s="4" customFormat="1" x14ac:dyDescent="0.25">
      <c r="A85" s="6"/>
      <c r="C85" s="5"/>
      <c r="H85" s="35"/>
    </row>
    <row r="86" spans="1:8" s="4" customFormat="1" x14ac:dyDescent="0.25">
      <c r="A86" s="6"/>
      <c r="C86" s="5"/>
      <c r="H86" s="35"/>
    </row>
    <row r="87" spans="1:8" s="4" customFormat="1" x14ac:dyDescent="0.25">
      <c r="A87" s="6"/>
      <c r="C87" s="5"/>
      <c r="H87" s="35"/>
    </row>
    <row r="88" spans="1:8" s="4" customFormat="1" x14ac:dyDescent="0.25">
      <c r="A88" s="6"/>
      <c r="C88" s="5"/>
      <c r="H88" s="35"/>
    </row>
    <row r="89" spans="1:8" s="4" customFormat="1" x14ac:dyDescent="0.25">
      <c r="A89" s="6"/>
      <c r="C89" s="5"/>
      <c r="H89" s="35"/>
    </row>
    <row r="90" spans="1:8" s="4" customFormat="1" x14ac:dyDescent="0.25">
      <c r="A90" s="6"/>
      <c r="C90" s="5"/>
      <c r="H90" s="35"/>
    </row>
    <row r="91" spans="1:8" s="4" customFormat="1" x14ac:dyDescent="0.25">
      <c r="A91" s="6"/>
      <c r="C91" s="5"/>
      <c r="H91" s="35"/>
    </row>
    <row r="92" spans="1:8" s="4" customFormat="1" x14ac:dyDescent="0.25">
      <c r="A92" s="6"/>
      <c r="C92" s="5"/>
      <c r="H92" s="35"/>
    </row>
    <row r="93" spans="1:8" s="4" customFormat="1" x14ac:dyDescent="0.25">
      <c r="A93" s="6"/>
      <c r="C93" s="5"/>
      <c r="H93" s="35"/>
    </row>
    <row r="94" spans="1:8" s="4" customFormat="1" x14ac:dyDescent="0.25">
      <c r="A94" s="6"/>
      <c r="C94" s="5"/>
      <c r="H94" s="35"/>
    </row>
    <row r="95" spans="1:8" s="4" customFormat="1" x14ac:dyDescent="0.25">
      <c r="A95" s="6"/>
      <c r="C95" s="5"/>
      <c r="H95" s="35"/>
    </row>
    <row r="96" spans="1:8" s="4" customFormat="1" x14ac:dyDescent="0.25">
      <c r="A96" s="6"/>
      <c r="C96" s="5"/>
      <c r="H96" s="35"/>
    </row>
    <row r="97" spans="1:8" s="4" customFormat="1" x14ac:dyDescent="0.25">
      <c r="A97" s="6"/>
      <c r="C97" s="5"/>
      <c r="H97" s="35"/>
    </row>
    <row r="98" spans="1:8" s="4" customFormat="1" x14ac:dyDescent="0.25">
      <c r="A98" s="6"/>
      <c r="C98" s="5"/>
      <c r="H98" s="35"/>
    </row>
    <row r="99" spans="1:8" s="4" customFormat="1" x14ac:dyDescent="0.25">
      <c r="A99" s="6"/>
      <c r="C99" s="5"/>
      <c r="H99" s="35"/>
    </row>
    <row r="100" spans="1:8" s="4" customFormat="1" x14ac:dyDescent="0.25">
      <c r="A100" s="6"/>
      <c r="C100" s="5"/>
      <c r="H100" s="35"/>
    </row>
    <row r="101" spans="1:8" s="4" customFormat="1" x14ac:dyDescent="0.25">
      <c r="A101" s="6"/>
      <c r="C101" s="5"/>
      <c r="H101" s="35"/>
    </row>
    <row r="102" spans="1:8" s="4" customFormat="1" x14ac:dyDescent="0.25">
      <c r="A102" s="6"/>
      <c r="C102" s="5"/>
      <c r="H102" s="35"/>
    </row>
    <row r="103" spans="1:8" s="4" customFormat="1" x14ac:dyDescent="0.25">
      <c r="A103" s="6"/>
      <c r="C103" s="5"/>
      <c r="H103" s="35"/>
    </row>
    <row r="104" spans="1:8" s="4" customFormat="1" x14ac:dyDescent="0.25">
      <c r="A104" s="6"/>
      <c r="C104" s="5"/>
      <c r="H104" s="35"/>
    </row>
    <row r="105" spans="1:8" s="4" customFormat="1" x14ac:dyDescent="0.25">
      <c r="A105" s="6"/>
      <c r="C105" s="5"/>
      <c r="H105" s="35"/>
    </row>
    <row r="106" spans="1:8" s="4" customFormat="1" x14ac:dyDescent="0.25">
      <c r="A106" s="6"/>
      <c r="C106" s="5"/>
      <c r="H106" s="35"/>
    </row>
    <row r="107" spans="1:8" s="4" customFormat="1" x14ac:dyDescent="0.25">
      <c r="A107" s="6"/>
      <c r="C107" s="5"/>
      <c r="H107" s="35"/>
    </row>
    <row r="108" spans="1:8" s="4" customFormat="1" x14ac:dyDescent="0.25">
      <c r="A108" s="6"/>
      <c r="C108" s="5"/>
      <c r="H108" s="35"/>
    </row>
    <row r="109" spans="1:8" s="4" customFormat="1" x14ac:dyDescent="0.25">
      <c r="A109" s="6"/>
      <c r="C109" s="5"/>
      <c r="H109" s="35"/>
    </row>
    <row r="110" spans="1:8" s="4" customFormat="1" x14ac:dyDescent="0.25">
      <c r="A110" s="6"/>
      <c r="C110" s="5"/>
      <c r="H110" s="35"/>
    </row>
    <row r="111" spans="1:8" s="4" customFormat="1" x14ac:dyDescent="0.25">
      <c r="A111" s="6"/>
      <c r="C111" s="5"/>
      <c r="H111" s="35"/>
    </row>
    <row r="112" spans="1:8" s="4" customFormat="1" x14ac:dyDescent="0.25">
      <c r="A112" s="6"/>
      <c r="C112" s="5"/>
      <c r="H112" s="35"/>
    </row>
    <row r="113" spans="1:8" s="4" customFormat="1" x14ac:dyDescent="0.25">
      <c r="A113" s="6"/>
      <c r="C113" s="5"/>
      <c r="H113" s="35"/>
    </row>
    <row r="114" spans="1:8" s="4" customFormat="1" x14ac:dyDescent="0.25">
      <c r="A114" s="6"/>
      <c r="C114" s="5"/>
      <c r="H114" s="35"/>
    </row>
    <row r="115" spans="1:8" s="4" customFormat="1" x14ac:dyDescent="0.25">
      <c r="A115" s="6"/>
      <c r="C115" s="5"/>
      <c r="H115" s="35"/>
    </row>
  </sheetData>
  <mergeCells count="1">
    <mergeCell ref="C1:H1"/>
  </mergeCells>
  <hyperlinks>
    <hyperlink ref="C1" r:id="rId1"/>
  </hyperlinks>
  <pageMargins left="0.25" right="0.25" top="0.75" bottom="0.75" header="0.3" footer="0.3"/>
  <pageSetup scale="88" fitToHeight="0" orientation="landscape" r:id="rId2"/>
  <headerFooter>
    <oddFooter>Page &amp;P of &amp;N</oddFooter>
  </headerFooter>
  <rowBreaks count="1" manualBreakCount="1">
    <brk id="5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OpenGOV</vt:lpstr>
      <vt:lpstr>Sheet1</vt:lpstr>
      <vt:lpstr>ORIG</vt:lpstr>
      <vt:lpstr>OpenGOV!Print_Area</vt:lpstr>
      <vt:lpstr>ORIG!Print_Area</vt:lpstr>
      <vt:lpstr>OpenGOV!Print_Titles</vt:lpstr>
      <vt:lpstr>ORIG!Print_Titles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Gordon</dc:creator>
  <cp:lastModifiedBy>Richard Thiel</cp:lastModifiedBy>
  <cp:lastPrinted>2022-03-10T20:19:45Z</cp:lastPrinted>
  <dcterms:created xsi:type="dcterms:W3CDTF">2021-06-25T14:40:02Z</dcterms:created>
  <dcterms:modified xsi:type="dcterms:W3CDTF">2022-03-17T16:01:03Z</dcterms:modified>
</cp:coreProperties>
</file>